
<file path=[Content_Types].xml><?xml version="1.0" encoding="utf-8"?>
<Types xmlns="http://schemas.openxmlformats.org/package/2006/content-types">
  <Default Extension="xml" ContentType="application/xml"/>
  <Default Extension="vml" ContentType="application/vnd.openxmlformats-officedocument.vmlDrawing"/>
  <Default Extension="png" ContentType="image/png"/>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27945" windowHeight="12375"/>
  </bookViews>
  <sheets>
    <sheet name="安全工程" sheetId="16" r:id="rId1"/>
    <sheet name="环保工程" sheetId="17" r:id="rId2"/>
    <sheet name="职业卫生" sheetId="18" r:id="rId3"/>
    <sheet name="节能评价" sheetId="19" r:id="rId4"/>
    <sheet name="碳排放评价" sheetId="20" r:id="rId5"/>
    <sheet name="WpsReserved_CellImgList" sheetId="12" state="veryHidden" r:id="rId6"/>
  </sheets>
  <definedNames>
    <definedName name="_xlnm._FilterDatabase" localSheetId="0" hidden="1">安全工程!$A$1:$AC$341</definedName>
    <definedName name="_xlnm._FilterDatabase" localSheetId="1" hidden="1">环保工程!$A$1:$AD$197</definedName>
    <definedName name="_xlnm._FilterDatabase" localSheetId="2" hidden="1">职业卫生!$A$1:$AD$91</definedName>
    <definedName name="_xlnm._FilterDatabase" localSheetId="3" hidden="1">节能评价!$A$1:$AC$77</definedName>
    <definedName name="_xlnm._FilterDatabase" localSheetId="4" hidden="1">碳排放评价!$A$1:$AC$36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 name="ID_2BB669EB0C534A04865F590A31D338B7"/>
        <xdr:cNvPicPr>
          <a:picLocks noChangeAspect="1"/>
        </xdr:cNvPicPr>
      </xdr:nvPicPr>
      <xdr:blipFill>
        <a:blip r:embed="rId1"/>
        <a:stretch>
          <a:fillRect/>
        </a:stretch>
      </xdr:blipFill>
      <xdr:spPr>
        <a:xfrm>
          <a:off x="23265765" y="974725"/>
          <a:ext cx="12287250" cy="2524125"/>
        </a:xfrm>
        <a:prstGeom prst="rect">
          <a:avLst/>
        </a:prstGeom>
        <a:noFill/>
        <a:ln w="9525">
          <a:noFill/>
        </a:ln>
      </xdr:spPr>
    </xdr:pic>
  </etc:cellImage>
  <etc:cellImage>
    <xdr:pic>
      <xdr:nvPicPr>
        <xdr:cNvPr id="8" name="ID_7719646BFA97430A8D3BA5070931CE08"/>
        <xdr:cNvPicPr>
          <a:picLocks noChangeAspect="1"/>
        </xdr:cNvPicPr>
      </xdr:nvPicPr>
      <xdr:blipFill>
        <a:blip r:embed="rId2" r:link="rId3"/>
        <a:stretch>
          <a:fillRect/>
        </a:stretch>
      </xdr:blipFill>
      <xdr:spPr>
        <a:xfrm>
          <a:off x="23249255" y="4351020"/>
          <a:ext cx="2705100" cy="2263140"/>
        </a:xfrm>
        <a:prstGeom prst="rect">
          <a:avLst/>
        </a:prstGeom>
        <a:noFill/>
        <a:ln>
          <a:noFill/>
        </a:ln>
      </xdr:spPr>
    </xdr:pic>
  </etc:cellImage>
  <etc:cellImage>
    <xdr:pic>
      <xdr:nvPicPr>
        <xdr:cNvPr id="2" name="ID_B5A44D0C81C142588175D166A5C4362F"/>
        <xdr:cNvPicPr>
          <a:picLocks noChangeAspect="1"/>
        </xdr:cNvPicPr>
      </xdr:nvPicPr>
      <xdr:blipFill>
        <a:blip r:embed="rId4"/>
        <a:stretch>
          <a:fillRect/>
        </a:stretch>
      </xdr:blipFill>
      <xdr:spPr>
        <a:xfrm>
          <a:off x="23832185" y="6586855"/>
          <a:ext cx="7867650" cy="942975"/>
        </a:xfrm>
        <a:prstGeom prst="rect">
          <a:avLst/>
        </a:prstGeom>
        <a:noFill/>
        <a:ln w="9525">
          <a:noFill/>
        </a:ln>
      </xdr:spPr>
    </xdr:pic>
  </etc:cellImage>
  <etc:cellImage>
    <xdr:pic>
      <xdr:nvPicPr>
        <xdr:cNvPr id="3" name="ID_F7E9C7541FC048059E711DF721C9A92C"/>
        <xdr:cNvPicPr>
          <a:picLocks noChangeAspect="1"/>
        </xdr:cNvPicPr>
      </xdr:nvPicPr>
      <xdr:blipFill>
        <a:blip r:embed="rId5"/>
        <a:stretch>
          <a:fillRect/>
        </a:stretch>
      </xdr:blipFill>
      <xdr:spPr>
        <a:xfrm>
          <a:off x="20647660" y="1684020"/>
          <a:ext cx="12296775" cy="2495550"/>
        </a:xfrm>
        <a:prstGeom prst="rect">
          <a:avLst/>
        </a:prstGeom>
        <a:noFill/>
        <a:ln w="9525">
          <a:noFill/>
        </a:ln>
      </xdr:spPr>
    </xdr:pic>
  </etc:cellImage>
  <etc:cellImage>
    <xdr:pic>
      <xdr:nvPicPr>
        <xdr:cNvPr id="4" name="ID_78CECC7A8E114B73A8B0C41FAC1339FE"/>
        <xdr:cNvPicPr>
          <a:picLocks noChangeAspect="1"/>
        </xdr:cNvPicPr>
      </xdr:nvPicPr>
      <xdr:blipFill>
        <a:blip r:embed="rId6"/>
        <a:stretch>
          <a:fillRect/>
        </a:stretch>
      </xdr:blipFill>
      <xdr:spPr>
        <a:xfrm>
          <a:off x="20647660" y="2446020"/>
          <a:ext cx="12506325" cy="2533650"/>
        </a:xfrm>
        <a:prstGeom prst="rect">
          <a:avLst/>
        </a:prstGeom>
        <a:noFill/>
        <a:ln w="9525">
          <a:noFill/>
        </a:ln>
      </xdr:spPr>
    </xdr:pic>
  </etc:cellImage>
  <etc:cellImage>
    <xdr:pic>
      <xdr:nvPicPr>
        <xdr:cNvPr id="5" name="ID_9B717E3E63D34BCD946069261F1DCCB3"/>
        <xdr:cNvPicPr>
          <a:picLocks noChangeAspect="1"/>
        </xdr:cNvPicPr>
      </xdr:nvPicPr>
      <xdr:blipFill>
        <a:blip r:embed="rId7"/>
        <a:stretch>
          <a:fillRect/>
        </a:stretch>
      </xdr:blipFill>
      <xdr:spPr>
        <a:xfrm>
          <a:off x="20647660" y="3208020"/>
          <a:ext cx="12639675" cy="2543175"/>
        </a:xfrm>
        <a:prstGeom prst="rect">
          <a:avLst/>
        </a:prstGeom>
        <a:noFill/>
        <a:ln w="9525">
          <a:noFill/>
        </a:ln>
      </xdr:spPr>
    </xdr:pic>
  </etc:cellImage>
  <etc:cellImage>
    <xdr:pic>
      <xdr:nvPicPr>
        <xdr:cNvPr id="9" name="ID_30C636CB88B84079BE060BFCD26F99EB"/>
        <xdr:cNvPicPr>
          <a:picLocks noChangeAspect="1"/>
        </xdr:cNvPicPr>
      </xdr:nvPicPr>
      <xdr:blipFill>
        <a:blip r:embed="rId8"/>
        <a:stretch>
          <a:fillRect/>
        </a:stretch>
      </xdr:blipFill>
      <xdr:spPr>
        <a:xfrm>
          <a:off x="13330555" y="3589020"/>
          <a:ext cx="12496800" cy="2971800"/>
        </a:xfrm>
        <a:prstGeom prst="rect">
          <a:avLst/>
        </a:prstGeom>
        <a:noFill/>
        <a:ln w="9525">
          <a:noFill/>
        </a:ln>
      </xdr:spPr>
    </xdr:pic>
  </etc:cellImage>
  <etc:cellImage>
    <xdr:pic>
      <xdr:nvPicPr>
        <xdr:cNvPr id="10" name="ID_5C5E13FF94344CB39C8DB1E59894CF6A"/>
        <xdr:cNvPicPr>
          <a:picLocks noChangeAspect="1"/>
        </xdr:cNvPicPr>
      </xdr:nvPicPr>
      <xdr:blipFill>
        <a:blip r:embed="rId9"/>
        <a:stretch>
          <a:fillRect/>
        </a:stretch>
      </xdr:blipFill>
      <xdr:spPr>
        <a:xfrm>
          <a:off x="13330555" y="3970020"/>
          <a:ext cx="12506325" cy="2952750"/>
        </a:xfrm>
        <a:prstGeom prst="rect">
          <a:avLst/>
        </a:prstGeom>
        <a:noFill/>
        <a:ln w="9525">
          <a:noFill/>
        </a:ln>
      </xdr:spPr>
    </xdr:pic>
  </etc:cellImage>
  <etc:cellImage>
    <xdr:pic>
      <xdr:nvPicPr>
        <xdr:cNvPr id="11" name="ID_B80ABBAA94BF4E1B8EDFA2B4FEEED450"/>
        <xdr:cNvPicPr>
          <a:picLocks noChangeAspect="1"/>
        </xdr:cNvPicPr>
      </xdr:nvPicPr>
      <xdr:blipFill>
        <a:blip r:embed="rId10"/>
        <a:stretch>
          <a:fillRect/>
        </a:stretch>
      </xdr:blipFill>
      <xdr:spPr>
        <a:xfrm>
          <a:off x="13330555" y="4351020"/>
          <a:ext cx="12668250" cy="3143250"/>
        </a:xfrm>
        <a:prstGeom prst="rect">
          <a:avLst/>
        </a:prstGeom>
        <a:noFill/>
        <a:ln w="9525">
          <a:noFill/>
        </a:ln>
      </xdr:spPr>
    </xdr:pic>
  </etc:cellImage>
  <etc:cellImage>
    <xdr:pic>
      <xdr:nvPicPr>
        <xdr:cNvPr id="12" name="ID_C306D3B252CD43DBB44FB8F714185D77"/>
        <xdr:cNvPicPr>
          <a:picLocks noChangeAspect="1"/>
        </xdr:cNvPicPr>
      </xdr:nvPicPr>
      <xdr:blipFill>
        <a:blip r:embed="rId11"/>
        <a:stretch>
          <a:fillRect/>
        </a:stretch>
      </xdr:blipFill>
      <xdr:spPr>
        <a:xfrm>
          <a:off x="13330555" y="4732020"/>
          <a:ext cx="12439650" cy="2943225"/>
        </a:xfrm>
        <a:prstGeom prst="rect">
          <a:avLst/>
        </a:prstGeom>
        <a:noFill/>
        <a:ln w="9525">
          <a:noFill/>
        </a:ln>
      </xdr:spPr>
    </xdr:pic>
  </etc:cellImage>
  <etc:cellImage>
    <xdr:pic>
      <xdr:nvPicPr>
        <xdr:cNvPr id="13" name="ID_D7DF84CC582E48AF9E2DAD7793756353"/>
        <xdr:cNvPicPr>
          <a:picLocks noChangeAspect="1"/>
        </xdr:cNvPicPr>
      </xdr:nvPicPr>
      <xdr:blipFill>
        <a:blip r:embed="rId12"/>
        <a:stretch>
          <a:fillRect/>
        </a:stretch>
      </xdr:blipFill>
      <xdr:spPr>
        <a:xfrm>
          <a:off x="13330555" y="5113020"/>
          <a:ext cx="12620625" cy="3038475"/>
        </a:xfrm>
        <a:prstGeom prst="rect">
          <a:avLst/>
        </a:prstGeom>
        <a:noFill/>
        <a:ln w="9525">
          <a:noFill/>
        </a:ln>
      </xdr:spPr>
    </xdr:pic>
  </etc:cellImage>
  <etc:cellImage>
    <xdr:pic>
      <xdr:nvPicPr>
        <xdr:cNvPr id="283" name="ID_33D5BC4ED36B419DAB146DA97AB9F119"/>
        <xdr:cNvPicPr>
          <a:picLocks noChangeAspect="1"/>
        </xdr:cNvPicPr>
      </xdr:nvPicPr>
      <xdr:blipFill>
        <a:blip r:embed="rId13"/>
        <a:stretch>
          <a:fillRect/>
        </a:stretch>
      </xdr:blipFill>
      <xdr:spPr>
        <a:xfrm>
          <a:off x="13330555" y="23933785"/>
          <a:ext cx="8324850" cy="3086100"/>
        </a:xfrm>
        <a:prstGeom prst="rect">
          <a:avLst/>
        </a:prstGeom>
        <a:noFill/>
        <a:ln w="9525">
          <a:noFill/>
        </a:ln>
      </xdr:spPr>
    </xdr:pic>
  </etc:cellImage>
  <etc:cellImage>
    <xdr:pic>
      <xdr:nvPicPr>
        <xdr:cNvPr id="284" name="ID_6B394114864A41BDACD48FA3119B5D89"/>
        <xdr:cNvPicPr>
          <a:picLocks noChangeAspect="1"/>
        </xdr:cNvPicPr>
      </xdr:nvPicPr>
      <xdr:blipFill>
        <a:blip r:embed="rId14"/>
        <a:stretch>
          <a:fillRect/>
        </a:stretch>
      </xdr:blipFill>
      <xdr:spPr>
        <a:xfrm>
          <a:off x="13330555" y="34830385"/>
          <a:ext cx="8382000" cy="3000375"/>
        </a:xfrm>
        <a:prstGeom prst="rect">
          <a:avLst/>
        </a:prstGeom>
        <a:noFill/>
        <a:ln w="9525">
          <a:noFill/>
        </a:ln>
      </xdr:spPr>
    </xdr:pic>
  </etc:cellImage>
  <etc:cellImage>
    <xdr:pic>
      <xdr:nvPicPr>
        <xdr:cNvPr id="286" name="ID_B3F1C7BB6C694F36AEC89BFA5114CE12"/>
        <xdr:cNvPicPr>
          <a:picLocks noChangeAspect="1"/>
        </xdr:cNvPicPr>
      </xdr:nvPicPr>
      <xdr:blipFill>
        <a:blip r:embed="rId15"/>
        <a:stretch>
          <a:fillRect/>
        </a:stretch>
      </xdr:blipFill>
      <xdr:spPr>
        <a:xfrm>
          <a:off x="13702030" y="15637510"/>
          <a:ext cx="8324850" cy="3028950"/>
        </a:xfrm>
        <a:prstGeom prst="rect">
          <a:avLst/>
        </a:prstGeom>
        <a:noFill/>
        <a:ln w="9525">
          <a:noFill/>
        </a:ln>
      </xdr:spPr>
    </xdr:pic>
  </etc:cellImage>
  <etc:cellImage>
    <xdr:pic>
      <xdr:nvPicPr>
        <xdr:cNvPr id="287" name="ID_583856CF03664CF9AFDFA08174ABBC5C"/>
        <xdr:cNvPicPr>
          <a:picLocks noChangeAspect="1"/>
        </xdr:cNvPicPr>
      </xdr:nvPicPr>
      <xdr:blipFill>
        <a:blip r:embed="rId16"/>
        <a:stretch>
          <a:fillRect/>
        </a:stretch>
      </xdr:blipFill>
      <xdr:spPr>
        <a:xfrm>
          <a:off x="13578205" y="25248235"/>
          <a:ext cx="8429625" cy="2990850"/>
        </a:xfrm>
        <a:prstGeom prst="rect">
          <a:avLst/>
        </a:prstGeom>
        <a:noFill/>
        <a:ln w="9525">
          <a:noFill/>
        </a:ln>
      </xdr:spPr>
    </xdr:pic>
  </etc:cellImage>
  <etc:cellImage>
    <xdr:pic>
      <xdr:nvPicPr>
        <xdr:cNvPr id="289" name="ID_9E170A2EC6BF40339F21504BC5B5D423"/>
        <xdr:cNvPicPr>
          <a:picLocks noChangeAspect="1"/>
        </xdr:cNvPicPr>
      </xdr:nvPicPr>
      <xdr:blipFill>
        <a:blip r:embed="rId17"/>
        <a:stretch>
          <a:fillRect/>
        </a:stretch>
      </xdr:blipFill>
      <xdr:spPr>
        <a:xfrm>
          <a:off x="13330555" y="25610185"/>
          <a:ext cx="8429625" cy="3057525"/>
        </a:xfrm>
        <a:prstGeom prst="rect">
          <a:avLst/>
        </a:prstGeom>
        <a:noFill/>
        <a:ln w="9525">
          <a:noFill/>
        </a:ln>
      </xdr:spPr>
    </xdr:pic>
  </etc:cellImage>
  <etc:cellImage>
    <xdr:pic>
      <xdr:nvPicPr>
        <xdr:cNvPr id="290" name="ID_DF92BACDB1444A09A2249D786953E992"/>
        <xdr:cNvPicPr>
          <a:picLocks noChangeAspect="1"/>
        </xdr:cNvPicPr>
      </xdr:nvPicPr>
      <xdr:blipFill>
        <a:blip r:embed="rId18"/>
        <a:stretch>
          <a:fillRect/>
        </a:stretch>
      </xdr:blipFill>
      <xdr:spPr>
        <a:xfrm>
          <a:off x="13330555" y="26448385"/>
          <a:ext cx="8353425" cy="1905000"/>
        </a:xfrm>
        <a:prstGeom prst="rect">
          <a:avLst/>
        </a:prstGeom>
        <a:noFill/>
        <a:ln w="9525">
          <a:noFill/>
        </a:ln>
      </xdr:spPr>
    </xdr:pic>
  </etc:cellImage>
  <etc:cellImage>
    <xdr:pic>
      <xdr:nvPicPr>
        <xdr:cNvPr id="292" name="ID_239F58837FE548A79499FF7B91D8256D"/>
        <xdr:cNvPicPr>
          <a:picLocks noChangeAspect="1"/>
        </xdr:cNvPicPr>
      </xdr:nvPicPr>
      <xdr:blipFill>
        <a:blip r:embed="rId19"/>
        <a:stretch>
          <a:fillRect/>
        </a:stretch>
      </xdr:blipFill>
      <xdr:spPr>
        <a:xfrm>
          <a:off x="13597255" y="16456660"/>
          <a:ext cx="8315325" cy="3028950"/>
        </a:xfrm>
        <a:prstGeom prst="rect">
          <a:avLst/>
        </a:prstGeom>
        <a:noFill/>
        <a:ln w="9525">
          <a:noFill/>
        </a:ln>
      </xdr:spPr>
    </xdr:pic>
  </etc:cellImage>
  <etc:cellImage>
    <xdr:pic>
      <xdr:nvPicPr>
        <xdr:cNvPr id="295" name="ID_8EC2BDC6D9E4477C9210190BAD7216CB"/>
        <xdr:cNvPicPr>
          <a:picLocks noChangeAspect="1"/>
        </xdr:cNvPicPr>
      </xdr:nvPicPr>
      <xdr:blipFill>
        <a:blip r:embed="rId20"/>
        <a:stretch>
          <a:fillRect/>
        </a:stretch>
      </xdr:blipFill>
      <xdr:spPr>
        <a:xfrm>
          <a:off x="13606780" y="17304385"/>
          <a:ext cx="8362950" cy="3000375"/>
        </a:xfrm>
        <a:prstGeom prst="rect">
          <a:avLst/>
        </a:prstGeom>
        <a:noFill/>
        <a:ln w="9525">
          <a:noFill/>
        </a:ln>
      </xdr:spPr>
    </xdr:pic>
  </etc:cellImage>
  <etc:cellImage>
    <xdr:pic>
      <xdr:nvPicPr>
        <xdr:cNvPr id="296" name="ID_4B19E2B33E1E4EA890E1B2AB6305601E"/>
        <xdr:cNvPicPr>
          <a:picLocks noChangeAspect="1"/>
        </xdr:cNvPicPr>
      </xdr:nvPicPr>
      <xdr:blipFill>
        <a:blip r:embed="rId21"/>
        <a:stretch>
          <a:fillRect/>
        </a:stretch>
      </xdr:blipFill>
      <xdr:spPr>
        <a:xfrm>
          <a:off x="13330555" y="26867485"/>
          <a:ext cx="8410575" cy="3048000"/>
        </a:xfrm>
        <a:prstGeom prst="rect">
          <a:avLst/>
        </a:prstGeom>
        <a:noFill/>
        <a:ln w="9525">
          <a:noFill/>
        </a:ln>
      </xdr:spPr>
    </xdr:pic>
  </etc:cellImage>
  <etc:cellImage>
    <xdr:pic>
      <xdr:nvPicPr>
        <xdr:cNvPr id="297" name="ID_B0E983FFD1EE4DE2892DC721D8B7038C"/>
        <xdr:cNvPicPr>
          <a:picLocks noChangeAspect="1"/>
        </xdr:cNvPicPr>
      </xdr:nvPicPr>
      <xdr:blipFill>
        <a:blip r:embed="rId22"/>
        <a:stretch>
          <a:fillRect/>
        </a:stretch>
      </xdr:blipFill>
      <xdr:spPr>
        <a:xfrm>
          <a:off x="13730605" y="18123535"/>
          <a:ext cx="8343900" cy="1362075"/>
        </a:xfrm>
        <a:prstGeom prst="rect">
          <a:avLst/>
        </a:prstGeom>
        <a:noFill/>
        <a:ln w="9525">
          <a:noFill/>
        </a:ln>
      </xdr:spPr>
    </xdr:pic>
  </etc:cellImage>
  <etc:cellImage>
    <xdr:pic>
      <xdr:nvPicPr>
        <xdr:cNvPr id="298" name="ID_73C091E519B04E39987BEC09D843D0A0"/>
        <xdr:cNvPicPr>
          <a:picLocks noChangeAspect="1"/>
        </xdr:cNvPicPr>
      </xdr:nvPicPr>
      <xdr:blipFill>
        <a:blip r:embed="rId23"/>
        <a:stretch>
          <a:fillRect/>
        </a:stretch>
      </xdr:blipFill>
      <xdr:spPr>
        <a:xfrm>
          <a:off x="13330555" y="27705685"/>
          <a:ext cx="8401050" cy="3028950"/>
        </a:xfrm>
        <a:prstGeom prst="rect">
          <a:avLst/>
        </a:prstGeom>
        <a:noFill/>
        <a:ln w="9525">
          <a:noFill/>
        </a:ln>
      </xdr:spPr>
    </xdr:pic>
  </etc:cellImage>
  <etc:cellImage>
    <xdr:pic>
      <xdr:nvPicPr>
        <xdr:cNvPr id="299" name="ID_70675633EA28424DBFA7AD363DECEEFD"/>
        <xdr:cNvPicPr>
          <a:picLocks noChangeAspect="1"/>
        </xdr:cNvPicPr>
      </xdr:nvPicPr>
      <xdr:blipFill>
        <a:blip r:embed="rId24"/>
        <a:stretch>
          <a:fillRect/>
        </a:stretch>
      </xdr:blipFill>
      <xdr:spPr>
        <a:xfrm>
          <a:off x="13330555" y="37764085"/>
          <a:ext cx="8467725" cy="3048000"/>
        </a:xfrm>
        <a:prstGeom prst="rect">
          <a:avLst/>
        </a:prstGeom>
        <a:noFill/>
        <a:ln w="9525">
          <a:noFill/>
        </a:ln>
      </xdr:spPr>
    </xdr:pic>
  </etc:cellImage>
  <etc:cellImage>
    <xdr:pic>
      <xdr:nvPicPr>
        <xdr:cNvPr id="302" name="ID_F2E37CF70055486381DAA4A53B2E5F01"/>
        <xdr:cNvPicPr>
          <a:picLocks noChangeAspect="1"/>
        </xdr:cNvPicPr>
      </xdr:nvPicPr>
      <xdr:blipFill>
        <a:blip r:embed="rId25"/>
        <a:stretch>
          <a:fillRect/>
        </a:stretch>
      </xdr:blipFill>
      <xdr:spPr>
        <a:xfrm>
          <a:off x="13330555" y="28124785"/>
          <a:ext cx="8420100" cy="3028950"/>
        </a:xfrm>
        <a:prstGeom prst="rect">
          <a:avLst/>
        </a:prstGeom>
        <a:noFill/>
        <a:ln w="9525">
          <a:noFill/>
        </a:ln>
      </xdr:spPr>
    </xdr:pic>
  </etc:cellImage>
  <etc:cellImage>
    <xdr:pic>
      <xdr:nvPicPr>
        <xdr:cNvPr id="304" name="ID_8B59010070E54A868D6F6934F0518868"/>
        <xdr:cNvPicPr>
          <a:picLocks noChangeAspect="1"/>
        </xdr:cNvPicPr>
      </xdr:nvPicPr>
      <xdr:blipFill>
        <a:blip r:embed="rId26"/>
        <a:stretch>
          <a:fillRect/>
        </a:stretch>
      </xdr:blipFill>
      <xdr:spPr>
        <a:xfrm>
          <a:off x="13702030" y="14723110"/>
          <a:ext cx="8315325" cy="3019425"/>
        </a:xfrm>
        <a:prstGeom prst="rect">
          <a:avLst/>
        </a:prstGeom>
        <a:noFill/>
        <a:ln w="9525">
          <a:noFill/>
        </a:ln>
      </xdr:spPr>
    </xdr:pic>
  </etc:cellImage>
  <etc:cellImage>
    <xdr:pic>
      <xdr:nvPicPr>
        <xdr:cNvPr id="305" name="ID_9611CDB3EEE44D6CBE80E2F5AB135283"/>
        <xdr:cNvPicPr>
          <a:picLocks noChangeAspect="1"/>
        </xdr:cNvPicPr>
      </xdr:nvPicPr>
      <xdr:blipFill>
        <a:blip r:embed="rId27"/>
        <a:stretch>
          <a:fillRect/>
        </a:stretch>
      </xdr:blipFill>
      <xdr:spPr>
        <a:xfrm>
          <a:off x="13511530" y="24381460"/>
          <a:ext cx="8353425" cy="3028950"/>
        </a:xfrm>
        <a:prstGeom prst="rect">
          <a:avLst/>
        </a:prstGeom>
        <a:noFill/>
        <a:ln w="9525">
          <a:noFill/>
        </a:ln>
      </xdr:spPr>
    </xdr:pic>
  </etc:cellImage>
  <etc:cellImage>
    <xdr:pic>
      <xdr:nvPicPr>
        <xdr:cNvPr id="307" name="ID_90F107A466E94306B0F66AE0BF594882"/>
        <xdr:cNvPicPr>
          <a:picLocks noChangeAspect="1"/>
        </xdr:cNvPicPr>
      </xdr:nvPicPr>
      <xdr:blipFill>
        <a:blip r:embed="rId28"/>
        <a:stretch>
          <a:fillRect/>
        </a:stretch>
      </xdr:blipFill>
      <xdr:spPr>
        <a:xfrm>
          <a:off x="13330555" y="7158355"/>
          <a:ext cx="12649200" cy="3038475"/>
        </a:xfrm>
        <a:prstGeom prst="rect">
          <a:avLst/>
        </a:prstGeom>
        <a:noFill/>
        <a:ln w="9525">
          <a:noFill/>
        </a:ln>
      </xdr:spPr>
    </xdr:pic>
  </etc:cellImage>
  <etc:cellImage>
    <xdr:pic>
      <xdr:nvPicPr>
        <xdr:cNvPr id="309" name="ID_5BF37CF53C1847FC97C20BCAFBA25C77"/>
        <xdr:cNvPicPr>
          <a:picLocks noChangeAspect="1"/>
        </xdr:cNvPicPr>
      </xdr:nvPicPr>
      <xdr:blipFill>
        <a:blip r:embed="rId29"/>
        <a:stretch>
          <a:fillRect/>
        </a:stretch>
      </xdr:blipFill>
      <xdr:spPr>
        <a:xfrm>
          <a:off x="13682980" y="14380210"/>
          <a:ext cx="8343900" cy="2028825"/>
        </a:xfrm>
        <a:prstGeom prst="rect">
          <a:avLst/>
        </a:prstGeom>
        <a:noFill/>
        <a:ln w="9525">
          <a:noFill/>
        </a:ln>
      </xdr:spPr>
    </xdr:pic>
  </etc:cellImage>
  <etc:cellImage>
    <xdr:pic>
      <xdr:nvPicPr>
        <xdr:cNvPr id="310" name="ID_4E74EBA968BC42269FC4E2CB9F4D3AC2"/>
        <xdr:cNvPicPr>
          <a:picLocks noChangeAspect="1"/>
        </xdr:cNvPicPr>
      </xdr:nvPicPr>
      <xdr:blipFill>
        <a:blip r:embed="rId30"/>
        <a:stretch>
          <a:fillRect/>
        </a:stretch>
      </xdr:blipFill>
      <xdr:spPr>
        <a:xfrm>
          <a:off x="13330555" y="33573085"/>
          <a:ext cx="8382000" cy="3038475"/>
        </a:xfrm>
        <a:prstGeom prst="rect">
          <a:avLst/>
        </a:prstGeom>
        <a:noFill/>
        <a:ln w="9525">
          <a:noFill/>
        </a:ln>
      </xdr:spPr>
    </xdr:pic>
  </etc:cellImage>
  <etc:cellImage>
    <xdr:pic>
      <xdr:nvPicPr>
        <xdr:cNvPr id="311" name="ID_762CF11D23CE4649B187B3AA8622A37B" descr="捕获"/>
        <xdr:cNvPicPr>
          <a:picLocks noChangeAspect="1"/>
        </xdr:cNvPicPr>
      </xdr:nvPicPr>
      <xdr:blipFill>
        <a:blip r:embed="rId31"/>
        <a:stretch>
          <a:fillRect/>
        </a:stretch>
      </xdr:blipFill>
      <xdr:spPr>
        <a:xfrm>
          <a:off x="13702030" y="9084310"/>
          <a:ext cx="8503285" cy="3076575"/>
        </a:xfrm>
        <a:prstGeom prst="rect">
          <a:avLst/>
        </a:prstGeom>
      </xdr:spPr>
    </xdr:pic>
  </etc:cellImage>
  <etc:cellImage>
    <xdr:pic>
      <xdr:nvPicPr>
        <xdr:cNvPr id="312" name="ID_1EEC25EB57344907802806838F52F823" descr="捕获2"/>
        <xdr:cNvPicPr>
          <a:picLocks noChangeAspect="1"/>
        </xdr:cNvPicPr>
      </xdr:nvPicPr>
      <xdr:blipFill>
        <a:blip r:embed="rId32"/>
        <a:stretch>
          <a:fillRect/>
        </a:stretch>
      </xdr:blipFill>
      <xdr:spPr>
        <a:xfrm>
          <a:off x="14397355" y="9579610"/>
          <a:ext cx="8436610" cy="2228850"/>
        </a:xfrm>
        <a:prstGeom prst="rect">
          <a:avLst/>
        </a:prstGeom>
      </xdr:spPr>
    </xdr:pic>
  </etc:cellImage>
  <etc:cellImage>
    <xdr:pic>
      <xdr:nvPicPr>
        <xdr:cNvPr id="313" name="ID_292B62421BF246A49D1F015FB44B6D1E"/>
        <xdr:cNvPicPr>
          <a:picLocks noChangeAspect="1"/>
        </xdr:cNvPicPr>
      </xdr:nvPicPr>
      <xdr:blipFill>
        <a:blip r:embed="rId33"/>
        <a:stretch>
          <a:fillRect/>
        </a:stretch>
      </xdr:blipFill>
      <xdr:spPr>
        <a:xfrm>
          <a:off x="13330555" y="29382085"/>
          <a:ext cx="7515225" cy="5143500"/>
        </a:xfrm>
        <a:prstGeom prst="rect">
          <a:avLst/>
        </a:prstGeom>
        <a:noFill/>
        <a:ln w="9525">
          <a:noFill/>
        </a:ln>
      </xdr:spPr>
    </xdr:pic>
  </etc:cellImage>
  <etc:cellImage>
    <xdr:pic>
      <xdr:nvPicPr>
        <xdr:cNvPr id="314" name="ID_B1A3218AD7A347E7BE1EB3CA09B08F3D"/>
        <xdr:cNvPicPr>
          <a:picLocks noChangeAspect="1"/>
        </xdr:cNvPicPr>
      </xdr:nvPicPr>
      <xdr:blipFill>
        <a:blip r:embed="rId34"/>
        <a:stretch>
          <a:fillRect/>
        </a:stretch>
      </xdr:blipFill>
      <xdr:spPr>
        <a:xfrm>
          <a:off x="13673455" y="9998710"/>
          <a:ext cx="8410575" cy="1343025"/>
        </a:xfrm>
        <a:prstGeom prst="rect">
          <a:avLst/>
        </a:prstGeom>
        <a:noFill/>
        <a:ln w="9525">
          <a:noFill/>
        </a:ln>
      </xdr:spPr>
    </xdr:pic>
  </etc:cellImage>
  <etc:cellImage>
    <xdr:pic>
      <xdr:nvPicPr>
        <xdr:cNvPr id="315" name="ID_EAD72AE173824D63893FB1AED9D23195"/>
        <xdr:cNvPicPr>
          <a:picLocks noChangeAspect="1"/>
        </xdr:cNvPicPr>
      </xdr:nvPicPr>
      <xdr:blipFill>
        <a:blip r:embed="rId35"/>
        <a:stretch>
          <a:fillRect/>
        </a:stretch>
      </xdr:blipFill>
      <xdr:spPr>
        <a:xfrm>
          <a:off x="13330555" y="29801185"/>
          <a:ext cx="8420100" cy="3067050"/>
        </a:xfrm>
        <a:prstGeom prst="rect">
          <a:avLst/>
        </a:prstGeom>
        <a:noFill/>
        <a:ln w="9525">
          <a:noFill/>
        </a:ln>
      </xdr:spPr>
    </xdr:pic>
  </etc:cellImage>
  <etc:cellImage>
    <xdr:pic>
      <xdr:nvPicPr>
        <xdr:cNvPr id="316" name="ID_AF2A622A89074EB598D80EDF50628B97"/>
        <xdr:cNvPicPr>
          <a:picLocks noChangeAspect="1"/>
        </xdr:cNvPicPr>
      </xdr:nvPicPr>
      <xdr:blipFill>
        <a:blip r:embed="rId36"/>
        <a:stretch>
          <a:fillRect/>
        </a:stretch>
      </xdr:blipFill>
      <xdr:spPr>
        <a:xfrm>
          <a:off x="13549630" y="10360660"/>
          <a:ext cx="8477250" cy="3086100"/>
        </a:xfrm>
        <a:prstGeom prst="rect">
          <a:avLst/>
        </a:prstGeom>
        <a:noFill/>
        <a:ln w="9525">
          <a:noFill/>
        </a:ln>
      </xdr:spPr>
    </xdr:pic>
  </etc:cellImage>
  <etc:cellImage>
    <xdr:pic>
      <xdr:nvPicPr>
        <xdr:cNvPr id="317" name="ID_03C08D964F6A45ABB8ED51D072979E70"/>
        <xdr:cNvPicPr>
          <a:picLocks noChangeAspect="1"/>
        </xdr:cNvPicPr>
      </xdr:nvPicPr>
      <xdr:blipFill>
        <a:blip r:embed="rId37"/>
        <a:stretch>
          <a:fillRect/>
        </a:stretch>
      </xdr:blipFill>
      <xdr:spPr>
        <a:xfrm>
          <a:off x="13330555" y="20161885"/>
          <a:ext cx="8534400" cy="3057525"/>
        </a:xfrm>
        <a:prstGeom prst="rect">
          <a:avLst/>
        </a:prstGeom>
        <a:noFill/>
        <a:ln w="9525">
          <a:noFill/>
        </a:ln>
      </xdr:spPr>
    </xdr:pic>
  </etc:cellImage>
  <etc:cellImage>
    <xdr:pic>
      <xdr:nvPicPr>
        <xdr:cNvPr id="318" name="ID_94706835D494481F8B152F7AC82FAAB6"/>
        <xdr:cNvPicPr>
          <a:picLocks noChangeAspect="1"/>
        </xdr:cNvPicPr>
      </xdr:nvPicPr>
      <xdr:blipFill>
        <a:blip r:embed="rId36"/>
        <a:stretch>
          <a:fillRect/>
        </a:stretch>
      </xdr:blipFill>
      <xdr:spPr>
        <a:xfrm>
          <a:off x="13816330" y="10770235"/>
          <a:ext cx="8477250" cy="3086100"/>
        </a:xfrm>
        <a:prstGeom prst="rect">
          <a:avLst/>
        </a:prstGeom>
        <a:noFill/>
        <a:ln w="9525">
          <a:noFill/>
        </a:ln>
      </xdr:spPr>
    </xdr:pic>
  </etc:cellImage>
  <etc:cellImage>
    <xdr:pic>
      <xdr:nvPicPr>
        <xdr:cNvPr id="319" name="ID_44CFB85F5F684375A1EA1BFF7A291F68"/>
        <xdr:cNvPicPr>
          <a:picLocks noChangeAspect="1"/>
        </xdr:cNvPicPr>
      </xdr:nvPicPr>
      <xdr:blipFill>
        <a:blip r:embed="rId38"/>
        <a:stretch>
          <a:fillRect/>
        </a:stretch>
      </xdr:blipFill>
      <xdr:spPr>
        <a:xfrm>
          <a:off x="13330555" y="30639385"/>
          <a:ext cx="8448675" cy="3000375"/>
        </a:xfrm>
        <a:prstGeom prst="rect">
          <a:avLst/>
        </a:prstGeom>
        <a:noFill/>
        <a:ln w="9525">
          <a:noFill/>
        </a:ln>
      </xdr:spPr>
    </xdr:pic>
  </etc:cellImage>
  <etc:cellImage>
    <xdr:pic>
      <xdr:nvPicPr>
        <xdr:cNvPr id="320" name="ID_9D64D15E3FE14708AD04731B54D4E26B"/>
        <xdr:cNvPicPr>
          <a:picLocks noChangeAspect="1"/>
        </xdr:cNvPicPr>
      </xdr:nvPicPr>
      <xdr:blipFill>
        <a:blip r:embed="rId39"/>
        <a:stretch>
          <a:fillRect/>
        </a:stretch>
      </xdr:blipFill>
      <xdr:spPr>
        <a:xfrm>
          <a:off x="13721080" y="11484610"/>
          <a:ext cx="8524875" cy="3019425"/>
        </a:xfrm>
        <a:prstGeom prst="rect">
          <a:avLst/>
        </a:prstGeom>
        <a:noFill/>
        <a:ln w="9525">
          <a:noFill/>
        </a:ln>
      </xdr:spPr>
    </xdr:pic>
  </etc:cellImage>
  <etc:cellImage>
    <xdr:pic>
      <xdr:nvPicPr>
        <xdr:cNvPr id="321" name="ID_D720DDD7A33946A89AC5763D38539B10"/>
        <xdr:cNvPicPr>
          <a:picLocks noChangeAspect="1"/>
        </xdr:cNvPicPr>
      </xdr:nvPicPr>
      <xdr:blipFill>
        <a:blip r:embed="rId40"/>
        <a:stretch>
          <a:fillRect/>
        </a:stretch>
      </xdr:blipFill>
      <xdr:spPr>
        <a:xfrm>
          <a:off x="13330555" y="21000085"/>
          <a:ext cx="8391525" cy="2847975"/>
        </a:xfrm>
        <a:prstGeom prst="rect">
          <a:avLst/>
        </a:prstGeom>
        <a:noFill/>
        <a:ln w="9525">
          <a:noFill/>
        </a:ln>
      </xdr:spPr>
    </xdr:pic>
  </etc:cellImage>
  <etc:cellImage>
    <xdr:pic>
      <xdr:nvPicPr>
        <xdr:cNvPr id="322" name="ID_FFEC4C141B2B44EB9CE5D7BCA887A02C"/>
        <xdr:cNvPicPr>
          <a:picLocks noChangeAspect="1"/>
        </xdr:cNvPicPr>
      </xdr:nvPicPr>
      <xdr:blipFill>
        <a:blip r:embed="rId41"/>
        <a:stretch>
          <a:fillRect/>
        </a:stretch>
      </xdr:blipFill>
      <xdr:spPr>
        <a:xfrm>
          <a:off x="13330555" y="31058485"/>
          <a:ext cx="8439150" cy="3067050"/>
        </a:xfrm>
        <a:prstGeom prst="rect">
          <a:avLst/>
        </a:prstGeom>
        <a:noFill/>
        <a:ln w="9525">
          <a:noFill/>
        </a:ln>
      </xdr:spPr>
    </xdr:pic>
  </etc:cellImage>
  <etc:cellImage>
    <xdr:pic>
      <xdr:nvPicPr>
        <xdr:cNvPr id="323" name="ID_A9A70EBF030D42DBA1CEBFC225D848E1"/>
        <xdr:cNvPicPr>
          <a:picLocks noChangeAspect="1"/>
        </xdr:cNvPicPr>
      </xdr:nvPicPr>
      <xdr:blipFill>
        <a:blip r:embed="rId42"/>
        <a:stretch>
          <a:fillRect/>
        </a:stretch>
      </xdr:blipFill>
      <xdr:spPr>
        <a:xfrm>
          <a:off x="13742035" y="11913235"/>
          <a:ext cx="8486775" cy="3009900"/>
        </a:xfrm>
        <a:prstGeom prst="rect">
          <a:avLst/>
        </a:prstGeom>
        <a:noFill/>
        <a:ln w="9525">
          <a:noFill/>
        </a:ln>
      </xdr:spPr>
    </xdr:pic>
  </etc:cellImage>
  <etc:cellImage>
    <xdr:pic>
      <xdr:nvPicPr>
        <xdr:cNvPr id="324" name="ID_9367459FEC394C2B8D2445AA60F05818"/>
        <xdr:cNvPicPr>
          <a:picLocks noChangeAspect="1"/>
        </xdr:cNvPicPr>
      </xdr:nvPicPr>
      <xdr:blipFill>
        <a:blip r:embed="rId43"/>
        <a:stretch>
          <a:fillRect/>
        </a:stretch>
      </xdr:blipFill>
      <xdr:spPr>
        <a:xfrm>
          <a:off x="13587730" y="12284710"/>
          <a:ext cx="8524875" cy="3028950"/>
        </a:xfrm>
        <a:prstGeom prst="rect">
          <a:avLst/>
        </a:prstGeom>
        <a:noFill/>
        <a:ln w="9525">
          <a:noFill/>
        </a:ln>
      </xdr:spPr>
    </xdr:pic>
  </etc:cellImage>
  <etc:cellImage>
    <xdr:pic>
      <xdr:nvPicPr>
        <xdr:cNvPr id="325" name="ID_F6F37691C8764F8CAC19D8C4CFFDD608"/>
        <xdr:cNvPicPr>
          <a:picLocks noChangeAspect="1"/>
        </xdr:cNvPicPr>
      </xdr:nvPicPr>
      <xdr:blipFill>
        <a:blip r:embed="rId44"/>
        <a:stretch>
          <a:fillRect/>
        </a:stretch>
      </xdr:blipFill>
      <xdr:spPr>
        <a:xfrm>
          <a:off x="13635355" y="12684760"/>
          <a:ext cx="8410575" cy="3057525"/>
        </a:xfrm>
        <a:prstGeom prst="rect">
          <a:avLst/>
        </a:prstGeom>
        <a:noFill/>
        <a:ln w="9525">
          <a:noFill/>
        </a:ln>
      </xdr:spPr>
    </xdr:pic>
  </etc:cellImage>
  <etc:cellImage>
    <xdr:pic>
      <xdr:nvPicPr>
        <xdr:cNvPr id="326" name="ID_AC48647E43F448B399251C230FAEE3F0"/>
        <xdr:cNvPicPr>
          <a:picLocks noChangeAspect="1"/>
        </xdr:cNvPicPr>
      </xdr:nvPicPr>
      <xdr:blipFill>
        <a:blip r:embed="rId45"/>
        <a:stretch>
          <a:fillRect/>
        </a:stretch>
      </xdr:blipFill>
      <xdr:spPr>
        <a:xfrm>
          <a:off x="13492480" y="13113385"/>
          <a:ext cx="8477250" cy="3000375"/>
        </a:xfrm>
        <a:prstGeom prst="rect">
          <a:avLst/>
        </a:prstGeom>
        <a:noFill/>
        <a:ln w="9525">
          <a:noFill/>
        </a:ln>
      </xdr:spPr>
    </xdr:pic>
  </etc:cellImage>
  <etc:cellImage>
    <xdr:pic>
      <xdr:nvPicPr>
        <xdr:cNvPr id="327" name="ID_6C64DF5FB2E54CB0A340B2D494968D4D"/>
        <xdr:cNvPicPr>
          <a:picLocks noChangeAspect="1"/>
        </xdr:cNvPicPr>
      </xdr:nvPicPr>
      <xdr:blipFill>
        <a:blip r:embed="rId46"/>
        <a:stretch>
          <a:fillRect/>
        </a:stretch>
      </xdr:blipFill>
      <xdr:spPr>
        <a:xfrm>
          <a:off x="13330555" y="22676485"/>
          <a:ext cx="8372475" cy="2066925"/>
        </a:xfrm>
        <a:prstGeom prst="rect">
          <a:avLst/>
        </a:prstGeom>
        <a:noFill/>
        <a:ln w="9525">
          <a:noFill/>
        </a:ln>
      </xdr:spPr>
    </xdr:pic>
  </etc:cellImage>
  <etc:cellImage>
    <xdr:pic>
      <xdr:nvPicPr>
        <xdr:cNvPr id="328" name="ID_AD84D30A14BC428D955FCE98B7CC8DA5"/>
        <xdr:cNvPicPr>
          <a:picLocks noChangeAspect="1"/>
        </xdr:cNvPicPr>
      </xdr:nvPicPr>
      <xdr:blipFill>
        <a:blip r:embed="rId47"/>
        <a:stretch>
          <a:fillRect/>
        </a:stretch>
      </xdr:blipFill>
      <xdr:spPr>
        <a:xfrm>
          <a:off x="13587730" y="13513435"/>
          <a:ext cx="8382000" cy="3009900"/>
        </a:xfrm>
        <a:prstGeom prst="rect">
          <a:avLst/>
        </a:prstGeom>
        <a:noFill/>
        <a:ln w="9525">
          <a:noFill/>
        </a:ln>
      </xdr:spPr>
    </xdr:pic>
  </etc:cellImage>
  <etc:cellImage>
    <xdr:pic>
      <xdr:nvPicPr>
        <xdr:cNvPr id="329" name="ID_636CC8E3566B410A913B1D8350A3C60D"/>
        <xdr:cNvPicPr>
          <a:picLocks noChangeAspect="1"/>
        </xdr:cNvPicPr>
      </xdr:nvPicPr>
      <xdr:blipFill>
        <a:blip r:embed="rId48"/>
        <a:stretch>
          <a:fillRect/>
        </a:stretch>
      </xdr:blipFill>
      <xdr:spPr>
        <a:xfrm>
          <a:off x="13568680" y="13932535"/>
          <a:ext cx="8305800" cy="3057525"/>
        </a:xfrm>
        <a:prstGeom prst="rect">
          <a:avLst/>
        </a:prstGeom>
        <a:noFill/>
        <a:ln w="9525">
          <a:noFill/>
        </a:ln>
      </xdr:spPr>
    </xdr:pic>
  </etc:cellImage>
  <etc:cellImage>
    <xdr:pic>
      <xdr:nvPicPr>
        <xdr:cNvPr id="330" name="ID_16FACBC3A5694C369473BE3B4757690A"/>
        <xdr:cNvPicPr>
          <a:picLocks noChangeAspect="1"/>
        </xdr:cNvPicPr>
      </xdr:nvPicPr>
      <xdr:blipFill>
        <a:blip r:embed="rId49"/>
        <a:stretch>
          <a:fillRect/>
        </a:stretch>
      </xdr:blipFill>
      <xdr:spPr>
        <a:xfrm>
          <a:off x="13330555" y="23514685"/>
          <a:ext cx="8382000" cy="1866900"/>
        </a:xfrm>
        <a:prstGeom prst="rect">
          <a:avLst/>
        </a:prstGeom>
        <a:noFill/>
        <a:ln w="9525">
          <a:noFill/>
        </a:ln>
      </xdr:spPr>
    </xdr:pic>
  </etc:cellImage>
  <etc:cellImage>
    <xdr:pic>
      <xdr:nvPicPr>
        <xdr:cNvPr id="331" name="ID_DA2D844A6A394BE9912D466CF33DC72D"/>
        <xdr:cNvPicPr>
          <a:picLocks noChangeAspect="1"/>
        </xdr:cNvPicPr>
      </xdr:nvPicPr>
      <xdr:blipFill>
        <a:blip r:embed="rId50"/>
        <a:stretch>
          <a:fillRect/>
        </a:stretch>
      </xdr:blipFill>
      <xdr:spPr>
        <a:xfrm>
          <a:off x="13330555" y="34411285"/>
          <a:ext cx="8372475" cy="1952625"/>
        </a:xfrm>
        <a:prstGeom prst="rect">
          <a:avLst/>
        </a:prstGeom>
        <a:noFill/>
        <a:ln w="9525">
          <a:noFill/>
        </a:ln>
      </xdr:spPr>
    </xdr:pic>
  </etc:cellImage>
  <etc:cellImage>
    <xdr:pic>
      <xdr:nvPicPr>
        <xdr:cNvPr id="332" name="ID_878952CFC618499D91252B26E8AFC9EE"/>
        <xdr:cNvPicPr>
          <a:picLocks noChangeAspect="1"/>
        </xdr:cNvPicPr>
      </xdr:nvPicPr>
      <xdr:blipFill>
        <a:blip r:embed="rId51"/>
        <a:stretch>
          <a:fillRect/>
        </a:stretch>
      </xdr:blipFill>
      <xdr:spPr>
        <a:xfrm>
          <a:off x="13578205" y="15199360"/>
          <a:ext cx="8334375" cy="1657350"/>
        </a:xfrm>
        <a:prstGeom prst="rect">
          <a:avLst/>
        </a:prstGeom>
        <a:noFill/>
        <a:ln w="9525">
          <a:noFill/>
        </a:ln>
      </xdr:spPr>
    </xdr:pic>
  </etc:cellImage>
  <etc:cellImage>
    <xdr:pic>
      <xdr:nvPicPr>
        <xdr:cNvPr id="333" name="ID_D5C572958DE24353BAD2187732A6059C"/>
        <xdr:cNvPicPr>
          <a:picLocks noChangeAspect="1"/>
        </xdr:cNvPicPr>
      </xdr:nvPicPr>
      <xdr:blipFill>
        <a:blip r:embed="rId52"/>
        <a:stretch>
          <a:fillRect/>
        </a:stretch>
      </xdr:blipFill>
      <xdr:spPr>
        <a:xfrm>
          <a:off x="13635355" y="16113760"/>
          <a:ext cx="8353425" cy="2076450"/>
        </a:xfrm>
        <a:prstGeom prst="rect">
          <a:avLst/>
        </a:prstGeom>
        <a:noFill/>
        <a:ln w="9525">
          <a:noFill/>
        </a:ln>
      </xdr:spPr>
    </xdr:pic>
  </etc:cellImage>
  <etc:cellImage>
    <xdr:pic>
      <xdr:nvPicPr>
        <xdr:cNvPr id="334" name="ID_CF8CBFA7E49042E1860F6C7E56CF27AB"/>
        <xdr:cNvPicPr>
          <a:picLocks noChangeAspect="1"/>
        </xdr:cNvPicPr>
      </xdr:nvPicPr>
      <xdr:blipFill>
        <a:blip r:embed="rId53"/>
        <a:stretch>
          <a:fillRect/>
        </a:stretch>
      </xdr:blipFill>
      <xdr:spPr>
        <a:xfrm>
          <a:off x="13663930" y="16942435"/>
          <a:ext cx="8372475" cy="2276475"/>
        </a:xfrm>
        <a:prstGeom prst="rect">
          <a:avLst/>
        </a:prstGeom>
        <a:noFill/>
        <a:ln w="9525">
          <a:noFill/>
        </a:ln>
      </xdr:spPr>
    </xdr:pic>
  </etc:cellImage>
  <etc:cellImage>
    <xdr:pic>
      <xdr:nvPicPr>
        <xdr:cNvPr id="335" name="ID_F5A5121B804C4D2AAFC7B653607E3367"/>
        <xdr:cNvPicPr>
          <a:picLocks noChangeAspect="1"/>
        </xdr:cNvPicPr>
      </xdr:nvPicPr>
      <xdr:blipFill>
        <a:blip r:embed="rId54"/>
        <a:stretch>
          <a:fillRect/>
        </a:stretch>
      </xdr:blipFill>
      <xdr:spPr>
        <a:xfrm>
          <a:off x="13703935" y="17752060"/>
          <a:ext cx="8334375" cy="3000375"/>
        </a:xfrm>
        <a:prstGeom prst="rect">
          <a:avLst/>
        </a:prstGeom>
        <a:noFill/>
        <a:ln w="9525">
          <a:noFill/>
        </a:ln>
      </xdr:spPr>
    </xdr:pic>
  </etc:cellImage>
  <etc:cellImage>
    <xdr:pic>
      <xdr:nvPicPr>
        <xdr:cNvPr id="336" name="ID_441E44183F074F30BE98A4D20CE9454C"/>
        <xdr:cNvPicPr>
          <a:picLocks noChangeAspect="1"/>
        </xdr:cNvPicPr>
      </xdr:nvPicPr>
      <xdr:blipFill>
        <a:blip r:embed="rId55"/>
        <a:stretch>
          <a:fillRect/>
        </a:stretch>
      </xdr:blipFill>
      <xdr:spPr>
        <a:xfrm>
          <a:off x="13330555" y="38392735"/>
          <a:ext cx="8429625" cy="1066800"/>
        </a:xfrm>
        <a:prstGeom prst="rect">
          <a:avLst/>
        </a:prstGeom>
        <a:noFill/>
        <a:ln w="9525">
          <a:noFill/>
        </a:ln>
      </xdr:spPr>
    </xdr:pic>
  </etc:cellImage>
  <etc:cellImage>
    <xdr:pic>
      <xdr:nvPicPr>
        <xdr:cNvPr id="337" name="ID_DB1A1FFF3DD94A89A71DDB09FE1DF907"/>
        <xdr:cNvPicPr>
          <a:picLocks noChangeAspect="1"/>
        </xdr:cNvPicPr>
      </xdr:nvPicPr>
      <xdr:blipFill>
        <a:blip r:embed="rId56"/>
        <a:stretch>
          <a:fillRect/>
        </a:stretch>
      </xdr:blipFill>
      <xdr:spPr>
        <a:xfrm>
          <a:off x="13694410" y="18561685"/>
          <a:ext cx="8343900" cy="3019425"/>
        </a:xfrm>
        <a:prstGeom prst="rect">
          <a:avLst/>
        </a:prstGeom>
        <a:noFill/>
        <a:ln w="9525">
          <a:noFill/>
        </a:ln>
      </xdr:spPr>
    </xdr:pic>
  </etc:cellImage>
  <etc:cellImage>
    <xdr:pic>
      <xdr:nvPicPr>
        <xdr:cNvPr id="338" name="ID_1D17DF2F91284DF8BD9E76B58ADDE20A"/>
        <xdr:cNvPicPr>
          <a:picLocks noChangeAspect="1"/>
        </xdr:cNvPicPr>
      </xdr:nvPicPr>
      <xdr:blipFill>
        <a:blip r:embed="rId57"/>
        <a:stretch>
          <a:fillRect/>
        </a:stretch>
      </xdr:blipFill>
      <xdr:spPr>
        <a:xfrm>
          <a:off x="13721080" y="18999835"/>
          <a:ext cx="8401050" cy="1009650"/>
        </a:xfrm>
        <a:prstGeom prst="rect">
          <a:avLst/>
        </a:prstGeom>
        <a:noFill/>
        <a:ln w="9525">
          <a:noFill/>
        </a:ln>
      </xdr:spPr>
    </xdr:pic>
  </etc:cellImage>
  <etc:cellImage>
    <xdr:pic>
      <xdr:nvPicPr>
        <xdr:cNvPr id="339" name="ID_7AB17434544D45D1A83B54B17892A14C"/>
        <xdr:cNvPicPr>
          <a:picLocks noChangeAspect="1"/>
        </xdr:cNvPicPr>
      </xdr:nvPicPr>
      <xdr:blipFill>
        <a:blip r:embed="rId58"/>
        <a:stretch>
          <a:fillRect/>
        </a:stretch>
      </xdr:blipFill>
      <xdr:spPr>
        <a:xfrm>
          <a:off x="13330555" y="28962985"/>
          <a:ext cx="8372475" cy="3067050"/>
        </a:xfrm>
        <a:prstGeom prst="rect">
          <a:avLst/>
        </a:prstGeom>
        <a:noFill/>
        <a:ln w="9525">
          <a:noFill/>
        </a:ln>
      </xdr:spPr>
    </xdr:pic>
  </etc:cellImage>
  <etc:cellImage>
    <xdr:pic>
      <xdr:nvPicPr>
        <xdr:cNvPr id="340" name="ID_F189FDF0517D4E148DCD872393156641"/>
        <xdr:cNvPicPr>
          <a:picLocks noChangeAspect="1"/>
        </xdr:cNvPicPr>
      </xdr:nvPicPr>
      <xdr:blipFill>
        <a:blip r:embed="rId59"/>
        <a:stretch>
          <a:fillRect/>
        </a:stretch>
      </xdr:blipFill>
      <xdr:spPr>
        <a:xfrm>
          <a:off x="13330555" y="19323685"/>
          <a:ext cx="8391525" cy="3057525"/>
        </a:xfrm>
        <a:prstGeom prst="rect">
          <a:avLst/>
        </a:prstGeom>
        <a:noFill/>
        <a:ln w="9525">
          <a:noFill/>
        </a:ln>
      </xdr:spPr>
    </xdr:pic>
  </etc:cellImage>
  <etc:cellImage>
    <xdr:pic>
      <xdr:nvPicPr>
        <xdr:cNvPr id="341" name="ID_A0B6DC32F8F1478F9CC3EC37BDC7044F"/>
        <xdr:cNvPicPr>
          <a:picLocks noChangeAspect="1"/>
        </xdr:cNvPicPr>
      </xdr:nvPicPr>
      <xdr:blipFill>
        <a:blip r:embed="rId60"/>
        <a:stretch>
          <a:fillRect/>
        </a:stretch>
      </xdr:blipFill>
      <xdr:spPr>
        <a:xfrm>
          <a:off x="13330555" y="19742785"/>
          <a:ext cx="8315325" cy="1209675"/>
        </a:xfrm>
        <a:prstGeom prst="rect">
          <a:avLst/>
        </a:prstGeom>
        <a:noFill/>
        <a:ln w="9525">
          <a:noFill/>
        </a:ln>
      </xdr:spPr>
    </xdr:pic>
  </etc:cellImage>
  <etc:cellImage>
    <xdr:pic>
      <xdr:nvPicPr>
        <xdr:cNvPr id="342" name="ID_F6B00ED1462D416FA918548B8F330838"/>
        <xdr:cNvPicPr>
          <a:picLocks noChangeAspect="1"/>
        </xdr:cNvPicPr>
      </xdr:nvPicPr>
      <xdr:blipFill>
        <a:blip r:embed="rId61"/>
        <a:stretch>
          <a:fillRect/>
        </a:stretch>
      </xdr:blipFill>
      <xdr:spPr>
        <a:xfrm>
          <a:off x="13330555" y="20580985"/>
          <a:ext cx="8410575" cy="3057525"/>
        </a:xfrm>
        <a:prstGeom prst="rect">
          <a:avLst/>
        </a:prstGeom>
        <a:noFill/>
        <a:ln w="9525">
          <a:noFill/>
        </a:ln>
      </xdr:spPr>
    </xdr:pic>
  </etc:cellImage>
  <etc:cellImage>
    <xdr:pic>
      <xdr:nvPicPr>
        <xdr:cNvPr id="343" name="ID_A281B2AE37DA42EB97720516F6FBD382"/>
        <xdr:cNvPicPr>
          <a:picLocks noChangeAspect="1"/>
        </xdr:cNvPicPr>
      </xdr:nvPicPr>
      <xdr:blipFill>
        <a:blip r:embed="rId62"/>
        <a:stretch>
          <a:fillRect/>
        </a:stretch>
      </xdr:blipFill>
      <xdr:spPr>
        <a:xfrm>
          <a:off x="13330555" y="21419185"/>
          <a:ext cx="8391525" cy="2143125"/>
        </a:xfrm>
        <a:prstGeom prst="rect">
          <a:avLst/>
        </a:prstGeom>
        <a:noFill/>
        <a:ln w="9525">
          <a:noFill/>
        </a:ln>
      </xdr:spPr>
    </xdr:pic>
  </etc:cellImage>
  <etc:cellImage>
    <xdr:pic>
      <xdr:nvPicPr>
        <xdr:cNvPr id="344" name="ID_47C949AF2B5146C68C54BE786CA74B45"/>
        <xdr:cNvPicPr>
          <a:picLocks noChangeAspect="1"/>
        </xdr:cNvPicPr>
      </xdr:nvPicPr>
      <xdr:blipFill>
        <a:blip r:embed="rId63"/>
        <a:stretch>
          <a:fillRect/>
        </a:stretch>
      </xdr:blipFill>
      <xdr:spPr>
        <a:xfrm>
          <a:off x="13330555" y="31477585"/>
          <a:ext cx="8448675" cy="3067050"/>
        </a:xfrm>
        <a:prstGeom prst="rect">
          <a:avLst/>
        </a:prstGeom>
        <a:noFill/>
        <a:ln w="9525">
          <a:noFill/>
        </a:ln>
      </xdr:spPr>
    </xdr:pic>
  </etc:cellImage>
  <etc:cellImage>
    <xdr:pic>
      <xdr:nvPicPr>
        <xdr:cNvPr id="345" name="ID_C9C22360213648DA9E4E59A848982297"/>
        <xdr:cNvPicPr>
          <a:picLocks noChangeAspect="1"/>
        </xdr:cNvPicPr>
      </xdr:nvPicPr>
      <xdr:blipFill>
        <a:blip r:embed="rId64"/>
        <a:stretch>
          <a:fillRect/>
        </a:stretch>
      </xdr:blipFill>
      <xdr:spPr>
        <a:xfrm>
          <a:off x="13330555" y="21838285"/>
          <a:ext cx="8401050" cy="3038475"/>
        </a:xfrm>
        <a:prstGeom prst="rect">
          <a:avLst/>
        </a:prstGeom>
        <a:noFill/>
        <a:ln w="9525">
          <a:noFill/>
        </a:ln>
      </xdr:spPr>
    </xdr:pic>
  </etc:cellImage>
  <etc:cellImage>
    <xdr:pic>
      <xdr:nvPicPr>
        <xdr:cNvPr id="346" name="ID_9CDD033289904DB5A89D4F4C90B0789B"/>
        <xdr:cNvPicPr>
          <a:picLocks noChangeAspect="1"/>
        </xdr:cNvPicPr>
      </xdr:nvPicPr>
      <xdr:blipFill>
        <a:blip r:embed="rId65"/>
        <a:stretch>
          <a:fillRect/>
        </a:stretch>
      </xdr:blipFill>
      <xdr:spPr>
        <a:xfrm>
          <a:off x="13330555" y="22257385"/>
          <a:ext cx="8324850" cy="1457325"/>
        </a:xfrm>
        <a:prstGeom prst="rect">
          <a:avLst/>
        </a:prstGeom>
        <a:noFill/>
        <a:ln w="9525">
          <a:noFill/>
        </a:ln>
      </xdr:spPr>
    </xdr:pic>
  </etc:cellImage>
  <etc:cellImage>
    <xdr:pic>
      <xdr:nvPicPr>
        <xdr:cNvPr id="347" name="ID_82DA22E17A4949DFBF2299250D519F08"/>
        <xdr:cNvPicPr>
          <a:picLocks noChangeAspect="1"/>
        </xdr:cNvPicPr>
      </xdr:nvPicPr>
      <xdr:blipFill>
        <a:blip r:embed="rId66"/>
        <a:stretch>
          <a:fillRect/>
        </a:stretch>
      </xdr:blipFill>
      <xdr:spPr>
        <a:xfrm>
          <a:off x="13330555" y="23095585"/>
          <a:ext cx="8410575" cy="2076450"/>
        </a:xfrm>
        <a:prstGeom prst="rect">
          <a:avLst/>
        </a:prstGeom>
        <a:noFill/>
        <a:ln w="9525">
          <a:noFill/>
        </a:ln>
      </xdr:spPr>
    </xdr:pic>
  </etc:cellImage>
  <etc:cellImage>
    <xdr:pic>
      <xdr:nvPicPr>
        <xdr:cNvPr id="348" name="ID_7B61720C15CC45BBBA7D9515D9D944D1"/>
        <xdr:cNvPicPr>
          <a:picLocks noChangeAspect="1"/>
        </xdr:cNvPicPr>
      </xdr:nvPicPr>
      <xdr:blipFill>
        <a:blip r:embed="rId67"/>
        <a:stretch>
          <a:fillRect/>
        </a:stretch>
      </xdr:blipFill>
      <xdr:spPr>
        <a:xfrm>
          <a:off x="13330555" y="24771985"/>
          <a:ext cx="8353425" cy="2047875"/>
        </a:xfrm>
        <a:prstGeom prst="rect">
          <a:avLst/>
        </a:prstGeom>
        <a:noFill/>
        <a:ln w="9525">
          <a:noFill/>
        </a:ln>
      </xdr:spPr>
    </xdr:pic>
  </etc:cellImage>
  <etc:cellImage>
    <xdr:pic>
      <xdr:nvPicPr>
        <xdr:cNvPr id="349" name="ID_5792D612C8214D688F21E8D568AE6584"/>
        <xdr:cNvPicPr>
          <a:picLocks noChangeAspect="1"/>
        </xdr:cNvPicPr>
      </xdr:nvPicPr>
      <xdr:blipFill>
        <a:blip r:embed="rId68"/>
        <a:stretch>
          <a:fillRect/>
        </a:stretch>
      </xdr:blipFill>
      <xdr:spPr>
        <a:xfrm>
          <a:off x="13330555" y="26029285"/>
          <a:ext cx="8362950" cy="2962275"/>
        </a:xfrm>
        <a:prstGeom prst="rect">
          <a:avLst/>
        </a:prstGeom>
        <a:noFill/>
        <a:ln w="9525">
          <a:noFill/>
        </a:ln>
      </xdr:spPr>
    </xdr:pic>
  </etc:cellImage>
  <etc:cellImage>
    <xdr:pic>
      <xdr:nvPicPr>
        <xdr:cNvPr id="350" name="ID_6D4A49587C00401D9267A9EA13000ED4"/>
        <xdr:cNvPicPr>
          <a:picLocks noChangeAspect="1"/>
        </xdr:cNvPicPr>
      </xdr:nvPicPr>
      <xdr:blipFill>
        <a:blip r:embed="rId69"/>
        <a:stretch>
          <a:fillRect/>
        </a:stretch>
      </xdr:blipFill>
      <xdr:spPr>
        <a:xfrm>
          <a:off x="13330555" y="27286585"/>
          <a:ext cx="8420100" cy="3038475"/>
        </a:xfrm>
        <a:prstGeom prst="rect">
          <a:avLst/>
        </a:prstGeom>
        <a:noFill/>
        <a:ln w="9525">
          <a:noFill/>
        </a:ln>
      </xdr:spPr>
    </xdr:pic>
  </etc:cellImage>
  <etc:cellImage>
    <xdr:pic>
      <xdr:nvPicPr>
        <xdr:cNvPr id="351" name="ID_4A0B6845EFFA4AF096B0A281CF6CE1D4"/>
        <xdr:cNvPicPr>
          <a:picLocks noChangeAspect="1"/>
        </xdr:cNvPicPr>
      </xdr:nvPicPr>
      <xdr:blipFill>
        <a:blip r:embed="rId70"/>
        <a:stretch>
          <a:fillRect/>
        </a:stretch>
      </xdr:blipFill>
      <xdr:spPr>
        <a:xfrm>
          <a:off x="13949680" y="28648660"/>
          <a:ext cx="10696575" cy="4181475"/>
        </a:xfrm>
        <a:prstGeom prst="rect">
          <a:avLst/>
        </a:prstGeom>
        <a:noFill/>
        <a:ln w="9525">
          <a:noFill/>
        </a:ln>
      </xdr:spPr>
    </xdr:pic>
  </etc:cellImage>
  <etc:cellImage>
    <xdr:pic>
      <xdr:nvPicPr>
        <xdr:cNvPr id="352" name="ID_CADAF501B3D74579A8FB417CF1A89334"/>
        <xdr:cNvPicPr>
          <a:picLocks noChangeAspect="1"/>
        </xdr:cNvPicPr>
      </xdr:nvPicPr>
      <xdr:blipFill>
        <a:blip r:embed="rId71"/>
        <a:stretch>
          <a:fillRect/>
        </a:stretch>
      </xdr:blipFill>
      <xdr:spPr>
        <a:xfrm>
          <a:off x="13330555" y="30220285"/>
          <a:ext cx="8439150" cy="3019425"/>
        </a:xfrm>
        <a:prstGeom prst="rect">
          <a:avLst/>
        </a:prstGeom>
        <a:noFill/>
        <a:ln w="9525">
          <a:noFill/>
        </a:ln>
      </xdr:spPr>
    </xdr:pic>
  </etc:cellImage>
  <etc:cellImage>
    <xdr:pic>
      <xdr:nvPicPr>
        <xdr:cNvPr id="353" name="ID_B339C2CA3B02419B936FAA85FA27986F"/>
        <xdr:cNvPicPr>
          <a:picLocks noChangeAspect="1"/>
        </xdr:cNvPicPr>
      </xdr:nvPicPr>
      <xdr:blipFill>
        <a:blip r:embed="rId72"/>
        <a:stretch>
          <a:fillRect/>
        </a:stretch>
      </xdr:blipFill>
      <xdr:spPr>
        <a:xfrm>
          <a:off x="13330555" y="31896685"/>
          <a:ext cx="8467725" cy="3028950"/>
        </a:xfrm>
        <a:prstGeom prst="rect">
          <a:avLst/>
        </a:prstGeom>
        <a:noFill/>
        <a:ln w="9525">
          <a:noFill/>
        </a:ln>
      </xdr:spPr>
    </xdr:pic>
  </etc:cellImage>
  <etc:cellImage>
    <xdr:pic>
      <xdr:nvPicPr>
        <xdr:cNvPr id="354" name="ID_103C171B8C16428D9346246809FC31AB"/>
        <xdr:cNvPicPr>
          <a:picLocks noChangeAspect="1"/>
        </xdr:cNvPicPr>
      </xdr:nvPicPr>
      <xdr:blipFill>
        <a:blip r:embed="rId73"/>
        <a:stretch>
          <a:fillRect/>
        </a:stretch>
      </xdr:blipFill>
      <xdr:spPr>
        <a:xfrm>
          <a:off x="13330555" y="32315785"/>
          <a:ext cx="8439150" cy="3067050"/>
        </a:xfrm>
        <a:prstGeom prst="rect">
          <a:avLst/>
        </a:prstGeom>
        <a:noFill/>
        <a:ln w="9525">
          <a:noFill/>
        </a:ln>
      </xdr:spPr>
    </xdr:pic>
  </etc:cellImage>
  <etc:cellImage>
    <xdr:pic>
      <xdr:nvPicPr>
        <xdr:cNvPr id="355" name="ID_2051BDE037994B00BEA6882C9028938E"/>
        <xdr:cNvPicPr>
          <a:picLocks noChangeAspect="1"/>
        </xdr:cNvPicPr>
      </xdr:nvPicPr>
      <xdr:blipFill>
        <a:blip r:embed="rId74"/>
        <a:stretch>
          <a:fillRect/>
        </a:stretch>
      </xdr:blipFill>
      <xdr:spPr>
        <a:xfrm>
          <a:off x="13330555" y="32734885"/>
          <a:ext cx="8429625" cy="3038475"/>
        </a:xfrm>
        <a:prstGeom prst="rect">
          <a:avLst/>
        </a:prstGeom>
        <a:noFill/>
        <a:ln w="9525">
          <a:noFill/>
        </a:ln>
      </xdr:spPr>
    </xdr:pic>
  </etc:cellImage>
  <etc:cellImage>
    <xdr:pic>
      <xdr:nvPicPr>
        <xdr:cNvPr id="356" name="ID_F7D14AB8A702415B8E86E0FF8F2ACFFD"/>
        <xdr:cNvPicPr>
          <a:picLocks noChangeAspect="1"/>
        </xdr:cNvPicPr>
      </xdr:nvPicPr>
      <xdr:blipFill>
        <a:blip r:embed="rId75"/>
        <a:stretch>
          <a:fillRect/>
        </a:stretch>
      </xdr:blipFill>
      <xdr:spPr>
        <a:xfrm>
          <a:off x="13330555" y="33153985"/>
          <a:ext cx="8439150" cy="3057525"/>
        </a:xfrm>
        <a:prstGeom prst="rect">
          <a:avLst/>
        </a:prstGeom>
        <a:noFill/>
        <a:ln w="9525">
          <a:noFill/>
        </a:ln>
      </xdr:spPr>
    </xdr:pic>
  </etc:cellImage>
  <etc:cellImage>
    <xdr:pic>
      <xdr:nvPicPr>
        <xdr:cNvPr id="357" name="ID_13320A7DE0814DEB87C18A4ED5468F6C"/>
        <xdr:cNvPicPr>
          <a:picLocks noChangeAspect="1"/>
        </xdr:cNvPicPr>
      </xdr:nvPicPr>
      <xdr:blipFill>
        <a:blip r:embed="rId76"/>
        <a:stretch>
          <a:fillRect/>
        </a:stretch>
      </xdr:blipFill>
      <xdr:spPr>
        <a:xfrm>
          <a:off x="13330555" y="33992185"/>
          <a:ext cx="8343900" cy="3028950"/>
        </a:xfrm>
        <a:prstGeom prst="rect">
          <a:avLst/>
        </a:prstGeom>
        <a:noFill/>
        <a:ln w="9525">
          <a:noFill/>
        </a:ln>
      </xdr:spPr>
    </xdr:pic>
  </etc:cellImage>
  <etc:cellImage>
    <xdr:pic>
      <xdr:nvPicPr>
        <xdr:cNvPr id="358" name="ID_83006A143AA8439E85F1826ED03A460C"/>
        <xdr:cNvPicPr>
          <a:picLocks noChangeAspect="1"/>
        </xdr:cNvPicPr>
      </xdr:nvPicPr>
      <xdr:blipFill>
        <a:blip r:embed="rId77"/>
        <a:stretch>
          <a:fillRect/>
        </a:stretch>
      </xdr:blipFill>
      <xdr:spPr>
        <a:xfrm>
          <a:off x="13330555" y="35249485"/>
          <a:ext cx="7448550" cy="5534025"/>
        </a:xfrm>
        <a:prstGeom prst="rect">
          <a:avLst/>
        </a:prstGeom>
        <a:noFill/>
        <a:ln w="9525">
          <a:noFill/>
        </a:ln>
      </xdr:spPr>
    </xdr:pic>
  </etc:cellImage>
  <etc:cellImage>
    <xdr:pic>
      <xdr:nvPicPr>
        <xdr:cNvPr id="359" name="ID_67CB0C891B7248D89832EE71A4F01F6C"/>
        <xdr:cNvPicPr>
          <a:picLocks noChangeAspect="1"/>
        </xdr:cNvPicPr>
      </xdr:nvPicPr>
      <xdr:blipFill>
        <a:blip r:embed="rId78"/>
        <a:stretch>
          <a:fillRect/>
        </a:stretch>
      </xdr:blipFill>
      <xdr:spPr>
        <a:xfrm>
          <a:off x="13330555" y="35878135"/>
          <a:ext cx="8448675" cy="1943100"/>
        </a:xfrm>
        <a:prstGeom prst="rect">
          <a:avLst/>
        </a:prstGeom>
        <a:noFill/>
        <a:ln w="9525">
          <a:noFill/>
        </a:ln>
      </xdr:spPr>
    </xdr:pic>
  </etc:cellImage>
  <etc:cellImage>
    <xdr:pic>
      <xdr:nvPicPr>
        <xdr:cNvPr id="360" name="ID_5D9D7CBFEAEC4E188DFA33AA23B06386"/>
        <xdr:cNvPicPr>
          <a:picLocks noChangeAspect="1"/>
        </xdr:cNvPicPr>
      </xdr:nvPicPr>
      <xdr:blipFill>
        <a:blip r:embed="rId79"/>
        <a:stretch>
          <a:fillRect/>
        </a:stretch>
      </xdr:blipFill>
      <xdr:spPr>
        <a:xfrm>
          <a:off x="13330555" y="36297235"/>
          <a:ext cx="8391525" cy="3086100"/>
        </a:xfrm>
        <a:prstGeom prst="rect">
          <a:avLst/>
        </a:prstGeom>
        <a:noFill/>
        <a:ln w="9525">
          <a:noFill/>
        </a:ln>
      </xdr:spPr>
    </xdr:pic>
  </etc:cellImage>
  <etc:cellImage>
    <xdr:pic>
      <xdr:nvPicPr>
        <xdr:cNvPr id="361" name="ID_8F3D80D65DFA4588BF6E1FEA0D9DE8D7"/>
        <xdr:cNvPicPr>
          <a:picLocks noChangeAspect="1"/>
        </xdr:cNvPicPr>
      </xdr:nvPicPr>
      <xdr:blipFill>
        <a:blip r:embed="rId80"/>
        <a:stretch>
          <a:fillRect/>
        </a:stretch>
      </xdr:blipFill>
      <xdr:spPr>
        <a:xfrm>
          <a:off x="13330555" y="36925885"/>
          <a:ext cx="8382000" cy="1466850"/>
        </a:xfrm>
        <a:prstGeom prst="rect">
          <a:avLst/>
        </a:prstGeom>
        <a:noFill/>
        <a:ln w="9525">
          <a:noFill/>
        </a:ln>
      </xdr:spPr>
    </xdr:pic>
  </etc:cellImage>
  <etc:cellImage>
    <xdr:pic>
      <xdr:nvPicPr>
        <xdr:cNvPr id="362" name="ID_5222704B41E54CF4B01D31C5A48359F7"/>
        <xdr:cNvPicPr>
          <a:picLocks noChangeAspect="1"/>
        </xdr:cNvPicPr>
      </xdr:nvPicPr>
      <xdr:blipFill>
        <a:blip r:embed="rId81"/>
        <a:stretch>
          <a:fillRect/>
        </a:stretch>
      </xdr:blipFill>
      <xdr:spPr>
        <a:xfrm>
          <a:off x="13330555" y="37344985"/>
          <a:ext cx="8391525" cy="3076575"/>
        </a:xfrm>
        <a:prstGeom prst="rect">
          <a:avLst/>
        </a:prstGeom>
        <a:noFill/>
        <a:ln w="9525">
          <a:noFill/>
        </a:ln>
      </xdr:spPr>
    </xdr:pic>
  </etc:cellImage>
  <etc:cellImage>
    <xdr:pic>
      <xdr:nvPicPr>
        <xdr:cNvPr id="477" name="ID_E24B14920C4C40A5BA793053926BB793"/>
        <xdr:cNvPicPr>
          <a:picLocks noChangeAspect="1"/>
        </xdr:cNvPicPr>
      </xdr:nvPicPr>
      <xdr:blipFill>
        <a:blip r:embed="rId82"/>
        <a:stretch>
          <a:fillRect/>
        </a:stretch>
      </xdr:blipFill>
      <xdr:spPr>
        <a:xfrm>
          <a:off x="13330555" y="69615685"/>
          <a:ext cx="6962775" cy="3028950"/>
        </a:xfrm>
        <a:prstGeom prst="rect">
          <a:avLst/>
        </a:prstGeom>
        <a:noFill/>
        <a:ln w="9525">
          <a:noFill/>
        </a:ln>
      </xdr:spPr>
    </xdr:pic>
  </etc:cellImage>
  <etc:cellImage>
    <xdr:pic>
      <xdr:nvPicPr>
        <xdr:cNvPr id="478" name="ID_BE5C6FB598B148F4BA0F40DBE3F69895"/>
        <xdr:cNvPicPr>
          <a:picLocks noChangeAspect="1"/>
        </xdr:cNvPicPr>
      </xdr:nvPicPr>
      <xdr:blipFill>
        <a:blip r:embed="rId83"/>
        <a:stretch>
          <a:fillRect/>
        </a:stretch>
      </xdr:blipFill>
      <xdr:spPr>
        <a:xfrm>
          <a:off x="13330555" y="38811835"/>
          <a:ext cx="8372475" cy="3038475"/>
        </a:xfrm>
        <a:prstGeom prst="rect">
          <a:avLst/>
        </a:prstGeom>
        <a:noFill/>
        <a:ln w="9525">
          <a:noFill/>
        </a:ln>
      </xdr:spPr>
    </xdr:pic>
  </etc:cellImage>
  <etc:cellImage>
    <xdr:pic>
      <xdr:nvPicPr>
        <xdr:cNvPr id="479" name="ID_A6AF2018B0674B6CB782FFF2BB8BCAEB"/>
        <xdr:cNvPicPr>
          <a:picLocks noChangeAspect="1"/>
        </xdr:cNvPicPr>
      </xdr:nvPicPr>
      <xdr:blipFill>
        <a:blip r:embed="rId84"/>
        <a:stretch>
          <a:fillRect/>
        </a:stretch>
      </xdr:blipFill>
      <xdr:spPr>
        <a:xfrm>
          <a:off x="13330555" y="48451135"/>
          <a:ext cx="7439025" cy="2419350"/>
        </a:xfrm>
        <a:prstGeom prst="rect">
          <a:avLst/>
        </a:prstGeom>
        <a:noFill/>
        <a:ln w="9525">
          <a:noFill/>
        </a:ln>
      </xdr:spPr>
    </xdr:pic>
  </etc:cellImage>
  <etc:cellImage>
    <xdr:pic>
      <xdr:nvPicPr>
        <xdr:cNvPr id="480" name="ID_6451C331A0534170AD8A7C8E94CF31CC"/>
        <xdr:cNvPicPr>
          <a:picLocks noChangeAspect="1"/>
        </xdr:cNvPicPr>
      </xdr:nvPicPr>
      <xdr:blipFill>
        <a:blip r:embed="rId85"/>
        <a:stretch>
          <a:fillRect/>
        </a:stretch>
      </xdr:blipFill>
      <xdr:spPr>
        <a:xfrm>
          <a:off x="13330555" y="59347735"/>
          <a:ext cx="6953250" cy="3086100"/>
        </a:xfrm>
        <a:prstGeom prst="rect">
          <a:avLst/>
        </a:prstGeom>
        <a:noFill/>
        <a:ln w="9525">
          <a:noFill/>
        </a:ln>
      </xdr:spPr>
    </xdr:pic>
  </etc:cellImage>
  <etc:cellImage>
    <xdr:pic>
      <xdr:nvPicPr>
        <xdr:cNvPr id="481" name="ID_35C51EA646244DC1964E54D2714A360D"/>
        <xdr:cNvPicPr>
          <a:picLocks noChangeAspect="1"/>
        </xdr:cNvPicPr>
      </xdr:nvPicPr>
      <xdr:blipFill>
        <a:blip r:embed="rId86"/>
        <a:stretch>
          <a:fillRect/>
        </a:stretch>
      </xdr:blipFill>
      <xdr:spPr>
        <a:xfrm>
          <a:off x="13330555" y="48870235"/>
          <a:ext cx="7886700" cy="3019425"/>
        </a:xfrm>
        <a:prstGeom prst="rect">
          <a:avLst/>
        </a:prstGeom>
        <a:noFill/>
        <a:ln w="9525">
          <a:noFill/>
        </a:ln>
      </xdr:spPr>
    </xdr:pic>
  </etc:cellImage>
  <etc:cellImage>
    <xdr:pic>
      <xdr:nvPicPr>
        <xdr:cNvPr id="482" name="ID_8151D5CCF065424E84BACE0D291B6A42"/>
        <xdr:cNvPicPr>
          <a:picLocks noChangeAspect="1"/>
        </xdr:cNvPicPr>
      </xdr:nvPicPr>
      <xdr:blipFill>
        <a:blip r:embed="rId87"/>
        <a:stretch>
          <a:fillRect/>
        </a:stretch>
      </xdr:blipFill>
      <xdr:spPr>
        <a:xfrm>
          <a:off x="13549630" y="60424060"/>
          <a:ext cx="12258675" cy="6743700"/>
        </a:xfrm>
        <a:prstGeom prst="rect">
          <a:avLst/>
        </a:prstGeom>
        <a:noFill/>
        <a:ln w="9525">
          <a:noFill/>
        </a:ln>
      </xdr:spPr>
    </xdr:pic>
  </etc:cellImage>
  <etc:cellImage>
    <xdr:pic>
      <xdr:nvPicPr>
        <xdr:cNvPr id="483" name="ID_5654C55B7F404934A0E62C254B6797D5"/>
        <xdr:cNvPicPr>
          <a:picLocks noChangeAspect="1"/>
        </xdr:cNvPicPr>
      </xdr:nvPicPr>
      <xdr:blipFill>
        <a:blip r:embed="rId88"/>
        <a:stretch>
          <a:fillRect/>
        </a:stretch>
      </xdr:blipFill>
      <xdr:spPr>
        <a:xfrm>
          <a:off x="13330555" y="39230935"/>
          <a:ext cx="8372475" cy="2981325"/>
        </a:xfrm>
        <a:prstGeom prst="rect">
          <a:avLst/>
        </a:prstGeom>
        <a:noFill/>
        <a:ln w="9525">
          <a:noFill/>
        </a:ln>
      </xdr:spPr>
    </xdr:pic>
  </etc:cellImage>
  <etc:cellImage>
    <xdr:pic>
      <xdr:nvPicPr>
        <xdr:cNvPr id="484" name="ID_2161275BF53F4E6F9EC3AFC9EEAC7CD8"/>
        <xdr:cNvPicPr>
          <a:picLocks noChangeAspect="1"/>
        </xdr:cNvPicPr>
      </xdr:nvPicPr>
      <xdr:blipFill>
        <a:blip r:embed="rId89"/>
        <a:stretch>
          <a:fillRect/>
        </a:stretch>
      </xdr:blipFill>
      <xdr:spPr>
        <a:xfrm>
          <a:off x="13330555" y="40069135"/>
          <a:ext cx="6486525" cy="5334000"/>
        </a:xfrm>
        <a:prstGeom prst="rect">
          <a:avLst/>
        </a:prstGeom>
        <a:noFill/>
        <a:ln w="9525">
          <a:noFill/>
        </a:ln>
      </xdr:spPr>
    </xdr:pic>
  </etc:cellImage>
  <etc:cellImage>
    <xdr:pic>
      <xdr:nvPicPr>
        <xdr:cNvPr id="485" name="ID_E5AD50F92DCE4F1E943A61413FF9BFEC"/>
        <xdr:cNvPicPr>
          <a:picLocks noChangeAspect="1"/>
        </xdr:cNvPicPr>
      </xdr:nvPicPr>
      <xdr:blipFill>
        <a:blip r:embed="rId90"/>
        <a:stretch>
          <a:fillRect/>
        </a:stretch>
      </xdr:blipFill>
      <xdr:spPr>
        <a:xfrm>
          <a:off x="13682980" y="49822735"/>
          <a:ext cx="10925175" cy="4705350"/>
        </a:xfrm>
        <a:prstGeom prst="rect">
          <a:avLst/>
        </a:prstGeom>
        <a:noFill/>
        <a:ln w="9525">
          <a:noFill/>
        </a:ln>
      </xdr:spPr>
    </xdr:pic>
  </etc:cellImage>
  <etc:cellImage>
    <xdr:pic>
      <xdr:nvPicPr>
        <xdr:cNvPr id="486" name="ID_9878578FB1174B908C3CC2C89F18919F"/>
        <xdr:cNvPicPr>
          <a:picLocks noChangeAspect="1"/>
        </xdr:cNvPicPr>
      </xdr:nvPicPr>
      <xdr:blipFill>
        <a:blip r:embed="rId91"/>
        <a:stretch>
          <a:fillRect/>
        </a:stretch>
      </xdr:blipFill>
      <xdr:spPr>
        <a:xfrm>
          <a:off x="13330555" y="61233685"/>
          <a:ext cx="7381875" cy="3848100"/>
        </a:xfrm>
        <a:prstGeom prst="rect">
          <a:avLst/>
        </a:prstGeom>
        <a:noFill/>
        <a:ln w="9525">
          <a:noFill/>
        </a:ln>
      </xdr:spPr>
    </xdr:pic>
  </etc:cellImage>
  <etc:cellImage>
    <xdr:pic>
      <xdr:nvPicPr>
        <xdr:cNvPr id="487" name="ID_FF51B419ACC2454B92EA6C3F80845232"/>
        <xdr:cNvPicPr>
          <a:picLocks noChangeAspect="1"/>
        </xdr:cNvPicPr>
      </xdr:nvPicPr>
      <xdr:blipFill>
        <a:blip r:embed="rId92"/>
        <a:stretch>
          <a:fillRect/>
        </a:stretch>
      </xdr:blipFill>
      <xdr:spPr>
        <a:xfrm>
          <a:off x="13330555" y="39650035"/>
          <a:ext cx="8353425" cy="3019425"/>
        </a:xfrm>
        <a:prstGeom prst="rect">
          <a:avLst/>
        </a:prstGeom>
        <a:noFill/>
        <a:ln w="9525">
          <a:noFill/>
        </a:ln>
      </xdr:spPr>
    </xdr:pic>
  </etc:cellImage>
  <etc:cellImage>
    <xdr:pic>
      <xdr:nvPicPr>
        <xdr:cNvPr id="488" name="ID_87D16593511745598A3B5190FC8B3730"/>
        <xdr:cNvPicPr>
          <a:picLocks noChangeAspect="1"/>
        </xdr:cNvPicPr>
      </xdr:nvPicPr>
      <xdr:blipFill>
        <a:blip r:embed="rId93"/>
        <a:stretch>
          <a:fillRect/>
        </a:stretch>
      </xdr:blipFill>
      <xdr:spPr>
        <a:xfrm>
          <a:off x="13330555" y="40488235"/>
          <a:ext cx="8362950" cy="2990850"/>
        </a:xfrm>
        <a:prstGeom prst="rect">
          <a:avLst/>
        </a:prstGeom>
        <a:noFill/>
        <a:ln w="9525">
          <a:noFill/>
        </a:ln>
      </xdr:spPr>
    </xdr:pic>
  </etc:cellImage>
  <etc:cellImage>
    <xdr:pic>
      <xdr:nvPicPr>
        <xdr:cNvPr id="489" name="ID_75F91EC129644C9D9758462EE0C655F6"/>
        <xdr:cNvPicPr>
          <a:picLocks noChangeAspect="1"/>
        </xdr:cNvPicPr>
      </xdr:nvPicPr>
      <xdr:blipFill>
        <a:blip r:embed="rId94"/>
        <a:stretch>
          <a:fillRect/>
        </a:stretch>
      </xdr:blipFill>
      <xdr:spPr>
        <a:xfrm>
          <a:off x="13330555" y="61652785"/>
          <a:ext cx="7429500" cy="2400300"/>
        </a:xfrm>
        <a:prstGeom prst="rect">
          <a:avLst/>
        </a:prstGeom>
        <a:noFill/>
        <a:ln w="9525">
          <a:noFill/>
        </a:ln>
      </xdr:spPr>
    </xdr:pic>
  </etc:cellImage>
  <etc:cellImage>
    <xdr:pic>
      <xdr:nvPicPr>
        <xdr:cNvPr id="490" name="ID_4E3C89467F90491A9AB3CB2912887648"/>
        <xdr:cNvPicPr>
          <a:picLocks noChangeAspect="1"/>
        </xdr:cNvPicPr>
      </xdr:nvPicPr>
      <xdr:blipFill>
        <a:blip r:embed="rId95"/>
        <a:stretch>
          <a:fillRect/>
        </a:stretch>
      </xdr:blipFill>
      <xdr:spPr>
        <a:xfrm>
          <a:off x="13330555" y="62490985"/>
          <a:ext cx="6943725" cy="3076575"/>
        </a:xfrm>
        <a:prstGeom prst="rect">
          <a:avLst/>
        </a:prstGeom>
        <a:noFill/>
        <a:ln w="9525">
          <a:noFill/>
        </a:ln>
      </xdr:spPr>
    </xdr:pic>
  </etc:cellImage>
  <etc:cellImage>
    <xdr:pic>
      <xdr:nvPicPr>
        <xdr:cNvPr id="491" name="ID_C055F74E31E641C3A5D645BB3E5DB44E"/>
        <xdr:cNvPicPr>
          <a:picLocks noChangeAspect="1"/>
        </xdr:cNvPicPr>
      </xdr:nvPicPr>
      <xdr:blipFill>
        <a:blip r:embed="rId96"/>
        <a:stretch>
          <a:fillRect/>
        </a:stretch>
      </xdr:blipFill>
      <xdr:spPr>
        <a:xfrm>
          <a:off x="13330555" y="41326435"/>
          <a:ext cx="8343900" cy="3038475"/>
        </a:xfrm>
        <a:prstGeom prst="rect">
          <a:avLst/>
        </a:prstGeom>
        <a:noFill/>
        <a:ln w="9525">
          <a:noFill/>
        </a:ln>
      </xdr:spPr>
    </xdr:pic>
  </etc:cellImage>
  <etc:cellImage>
    <xdr:pic>
      <xdr:nvPicPr>
        <xdr:cNvPr id="492" name="ID_F485611BB4BF475EA0689D56FE943C39"/>
        <xdr:cNvPicPr>
          <a:picLocks noChangeAspect="1"/>
        </xdr:cNvPicPr>
      </xdr:nvPicPr>
      <xdr:blipFill>
        <a:blip r:embed="rId97"/>
        <a:stretch>
          <a:fillRect/>
        </a:stretch>
      </xdr:blipFill>
      <xdr:spPr>
        <a:xfrm>
          <a:off x="13330555" y="125146435"/>
          <a:ext cx="7962900" cy="3019425"/>
        </a:xfrm>
        <a:prstGeom prst="rect">
          <a:avLst/>
        </a:prstGeom>
        <a:noFill/>
        <a:ln w="9525">
          <a:noFill/>
        </a:ln>
      </xdr:spPr>
    </xdr:pic>
  </etc:cellImage>
  <etc:cellImage>
    <xdr:pic>
      <xdr:nvPicPr>
        <xdr:cNvPr id="493" name="ID_BF2BFCD68C79430BBAA74986AF6A460E"/>
        <xdr:cNvPicPr>
          <a:picLocks noChangeAspect="1"/>
        </xdr:cNvPicPr>
      </xdr:nvPicPr>
      <xdr:blipFill>
        <a:blip r:embed="rId98"/>
        <a:stretch>
          <a:fillRect/>
        </a:stretch>
      </xdr:blipFill>
      <xdr:spPr>
        <a:xfrm>
          <a:off x="13492480" y="76368910"/>
          <a:ext cx="6991350" cy="3086100"/>
        </a:xfrm>
        <a:prstGeom prst="rect">
          <a:avLst/>
        </a:prstGeom>
        <a:noFill/>
        <a:ln w="9525">
          <a:noFill/>
        </a:ln>
      </xdr:spPr>
    </xdr:pic>
  </etc:cellImage>
  <etc:cellImage>
    <xdr:pic>
      <xdr:nvPicPr>
        <xdr:cNvPr id="494" name="ID_75C5E7B5B5EE482CBB738C541A986357"/>
        <xdr:cNvPicPr>
          <a:picLocks noChangeAspect="1"/>
        </xdr:cNvPicPr>
      </xdr:nvPicPr>
      <xdr:blipFill>
        <a:blip r:embed="rId99"/>
        <a:stretch>
          <a:fillRect/>
        </a:stretch>
      </xdr:blipFill>
      <xdr:spPr>
        <a:xfrm>
          <a:off x="13330555" y="50546635"/>
          <a:ext cx="7448550" cy="1981200"/>
        </a:xfrm>
        <a:prstGeom prst="rect">
          <a:avLst/>
        </a:prstGeom>
        <a:noFill/>
        <a:ln w="9525">
          <a:noFill/>
        </a:ln>
      </xdr:spPr>
    </xdr:pic>
  </etc:cellImage>
  <etc:cellImage>
    <xdr:pic>
      <xdr:nvPicPr>
        <xdr:cNvPr id="495" name="ID_D60FA252695D434998E7621D42CF7C90"/>
        <xdr:cNvPicPr>
          <a:picLocks noChangeAspect="1"/>
        </xdr:cNvPicPr>
      </xdr:nvPicPr>
      <xdr:blipFill>
        <a:blip r:embed="rId100"/>
        <a:stretch>
          <a:fillRect/>
        </a:stretch>
      </xdr:blipFill>
      <xdr:spPr>
        <a:xfrm>
          <a:off x="13330555" y="40907335"/>
          <a:ext cx="6753225" cy="5486400"/>
        </a:xfrm>
        <a:prstGeom prst="rect">
          <a:avLst/>
        </a:prstGeom>
        <a:noFill/>
        <a:ln w="9525">
          <a:noFill/>
        </a:ln>
      </xdr:spPr>
    </xdr:pic>
  </etc:cellImage>
  <etc:cellImage>
    <xdr:pic>
      <xdr:nvPicPr>
        <xdr:cNvPr id="496" name="ID_0926C3BB6DD64C63BF48AC156568F977"/>
        <xdr:cNvPicPr>
          <a:picLocks noChangeAspect="1"/>
        </xdr:cNvPicPr>
      </xdr:nvPicPr>
      <xdr:blipFill>
        <a:blip r:embed="rId101"/>
        <a:stretch>
          <a:fillRect/>
        </a:stretch>
      </xdr:blipFill>
      <xdr:spPr>
        <a:xfrm>
          <a:off x="13330555" y="41745535"/>
          <a:ext cx="6477000" cy="5305425"/>
        </a:xfrm>
        <a:prstGeom prst="rect">
          <a:avLst/>
        </a:prstGeom>
        <a:noFill/>
        <a:ln w="9525">
          <a:noFill/>
        </a:ln>
      </xdr:spPr>
    </xdr:pic>
  </etc:cellImage>
  <etc:cellImage>
    <xdr:pic>
      <xdr:nvPicPr>
        <xdr:cNvPr id="497" name="ID_14ABA005E3AC4809ADEDFF6ECD00233F"/>
        <xdr:cNvPicPr>
          <a:picLocks noChangeAspect="1"/>
        </xdr:cNvPicPr>
      </xdr:nvPicPr>
      <xdr:blipFill>
        <a:blip r:embed="rId102"/>
        <a:stretch>
          <a:fillRect/>
        </a:stretch>
      </xdr:blipFill>
      <xdr:spPr>
        <a:xfrm>
          <a:off x="13330555" y="51384835"/>
          <a:ext cx="7419975" cy="1371600"/>
        </a:xfrm>
        <a:prstGeom prst="rect">
          <a:avLst/>
        </a:prstGeom>
        <a:noFill/>
        <a:ln w="9525">
          <a:noFill/>
        </a:ln>
      </xdr:spPr>
    </xdr:pic>
  </etc:cellImage>
  <etc:cellImage>
    <xdr:pic>
      <xdr:nvPicPr>
        <xdr:cNvPr id="498" name="ID_C3631B3B50034E29A077DEF06B6B8543"/>
        <xdr:cNvPicPr>
          <a:picLocks noChangeAspect="1"/>
        </xdr:cNvPicPr>
      </xdr:nvPicPr>
      <xdr:blipFill>
        <a:blip r:embed="rId103"/>
        <a:stretch>
          <a:fillRect/>
        </a:stretch>
      </xdr:blipFill>
      <xdr:spPr>
        <a:xfrm>
          <a:off x="13330555" y="62910085"/>
          <a:ext cx="7439025" cy="2667000"/>
        </a:xfrm>
        <a:prstGeom prst="rect">
          <a:avLst/>
        </a:prstGeom>
        <a:noFill/>
        <a:ln w="9525">
          <a:noFill/>
        </a:ln>
      </xdr:spPr>
    </xdr:pic>
  </etc:cellImage>
  <etc:cellImage>
    <xdr:pic>
      <xdr:nvPicPr>
        <xdr:cNvPr id="499" name="ID_FE0E03E4AB114D7CB183A5516B56FD3F"/>
        <xdr:cNvPicPr>
          <a:picLocks noChangeAspect="1"/>
        </xdr:cNvPicPr>
      </xdr:nvPicPr>
      <xdr:blipFill>
        <a:blip r:embed="rId104"/>
        <a:stretch>
          <a:fillRect/>
        </a:stretch>
      </xdr:blipFill>
      <xdr:spPr>
        <a:xfrm>
          <a:off x="13330555" y="42164635"/>
          <a:ext cx="8324850" cy="2990850"/>
        </a:xfrm>
        <a:prstGeom prst="rect">
          <a:avLst/>
        </a:prstGeom>
        <a:noFill/>
        <a:ln w="9525">
          <a:noFill/>
        </a:ln>
      </xdr:spPr>
    </xdr:pic>
  </etc:cellImage>
  <etc:cellImage>
    <xdr:pic>
      <xdr:nvPicPr>
        <xdr:cNvPr id="500" name="ID_66D281E7D81F4A7F87BCC9AD3088CB98"/>
        <xdr:cNvPicPr>
          <a:picLocks noChangeAspect="1"/>
        </xdr:cNvPicPr>
      </xdr:nvPicPr>
      <xdr:blipFill>
        <a:blip r:embed="rId105"/>
        <a:stretch>
          <a:fillRect/>
        </a:stretch>
      </xdr:blipFill>
      <xdr:spPr>
        <a:xfrm>
          <a:off x="13330555" y="52223035"/>
          <a:ext cx="7981950" cy="2981325"/>
        </a:xfrm>
        <a:prstGeom prst="rect">
          <a:avLst/>
        </a:prstGeom>
        <a:noFill/>
        <a:ln w="9525">
          <a:noFill/>
        </a:ln>
      </xdr:spPr>
    </xdr:pic>
  </etc:cellImage>
  <etc:cellImage>
    <xdr:pic>
      <xdr:nvPicPr>
        <xdr:cNvPr id="501" name="ID_C4C8D65D470042B6B990F1360AC849E6"/>
        <xdr:cNvPicPr>
          <a:picLocks noChangeAspect="1"/>
        </xdr:cNvPicPr>
      </xdr:nvPicPr>
      <xdr:blipFill>
        <a:blip r:embed="rId106"/>
        <a:stretch>
          <a:fillRect/>
        </a:stretch>
      </xdr:blipFill>
      <xdr:spPr>
        <a:xfrm>
          <a:off x="13330555" y="63748285"/>
          <a:ext cx="7010400" cy="1704975"/>
        </a:xfrm>
        <a:prstGeom prst="rect">
          <a:avLst/>
        </a:prstGeom>
        <a:noFill/>
        <a:ln w="9525">
          <a:noFill/>
        </a:ln>
      </xdr:spPr>
    </xdr:pic>
  </etc:cellImage>
  <etc:cellImage>
    <xdr:pic>
      <xdr:nvPicPr>
        <xdr:cNvPr id="502" name="ID_0A768EF8910246D7BC1E59A198780DB6"/>
        <xdr:cNvPicPr>
          <a:picLocks noChangeAspect="1"/>
        </xdr:cNvPicPr>
      </xdr:nvPicPr>
      <xdr:blipFill>
        <a:blip r:embed="rId107"/>
        <a:stretch>
          <a:fillRect/>
        </a:stretch>
      </xdr:blipFill>
      <xdr:spPr>
        <a:xfrm>
          <a:off x="13330555" y="42583735"/>
          <a:ext cx="8353425" cy="2990850"/>
        </a:xfrm>
        <a:prstGeom prst="rect">
          <a:avLst/>
        </a:prstGeom>
        <a:noFill/>
        <a:ln w="9525">
          <a:noFill/>
        </a:ln>
      </xdr:spPr>
    </xdr:pic>
  </etc:cellImage>
  <etc:cellImage>
    <xdr:pic>
      <xdr:nvPicPr>
        <xdr:cNvPr id="503" name="ID_0B43EEC009784D97A82836A3F3DC3996"/>
        <xdr:cNvPicPr>
          <a:picLocks noChangeAspect="1"/>
        </xdr:cNvPicPr>
      </xdr:nvPicPr>
      <xdr:blipFill>
        <a:blip r:embed="rId108"/>
        <a:stretch>
          <a:fillRect/>
        </a:stretch>
      </xdr:blipFill>
      <xdr:spPr>
        <a:xfrm>
          <a:off x="13330555" y="64167385"/>
          <a:ext cx="7010400" cy="1695450"/>
        </a:xfrm>
        <a:prstGeom prst="rect">
          <a:avLst/>
        </a:prstGeom>
        <a:noFill/>
        <a:ln w="9525">
          <a:noFill/>
        </a:ln>
      </xdr:spPr>
    </xdr:pic>
  </etc:cellImage>
  <etc:cellImage>
    <xdr:pic>
      <xdr:nvPicPr>
        <xdr:cNvPr id="504" name="ID_3789D83E570E48869B28FFC537D4DB80"/>
        <xdr:cNvPicPr>
          <a:picLocks noChangeAspect="1"/>
        </xdr:cNvPicPr>
      </xdr:nvPicPr>
      <xdr:blipFill>
        <a:blip r:embed="rId109"/>
        <a:stretch>
          <a:fillRect/>
        </a:stretch>
      </xdr:blipFill>
      <xdr:spPr>
        <a:xfrm>
          <a:off x="13330555" y="43002835"/>
          <a:ext cx="6505575" cy="3543300"/>
        </a:xfrm>
        <a:prstGeom prst="rect">
          <a:avLst/>
        </a:prstGeom>
        <a:noFill/>
        <a:ln w="9525">
          <a:noFill/>
        </a:ln>
      </xdr:spPr>
    </xdr:pic>
  </etc:cellImage>
  <etc:cellImage>
    <xdr:pic>
      <xdr:nvPicPr>
        <xdr:cNvPr id="505" name="ID_53FC27B124AD46F4B5FB19349FB1E9D9"/>
        <xdr:cNvPicPr>
          <a:picLocks noChangeAspect="1"/>
        </xdr:cNvPicPr>
      </xdr:nvPicPr>
      <xdr:blipFill>
        <a:blip r:embed="rId110"/>
        <a:stretch>
          <a:fillRect/>
        </a:stretch>
      </xdr:blipFill>
      <xdr:spPr>
        <a:xfrm>
          <a:off x="13330555" y="43421935"/>
          <a:ext cx="7858125" cy="3038475"/>
        </a:xfrm>
        <a:prstGeom prst="rect">
          <a:avLst/>
        </a:prstGeom>
        <a:noFill/>
        <a:ln w="9525">
          <a:noFill/>
        </a:ln>
      </xdr:spPr>
    </xdr:pic>
  </etc:cellImage>
  <etc:cellImage>
    <xdr:pic>
      <xdr:nvPicPr>
        <xdr:cNvPr id="506" name="ID_2C203821382D4A8588911EA9C4A44253"/>
        <xdr:cNvPicPr>
          <a:picLocks noChangeAspect="1"/>
        </xdr:cNvPicPr>
      </xdr:nvPicPr>
      <xdr:blipFill>
        <a:blip r:embed="rId111"/>
        <a:stretch>
          <a:fillRect/>
        </a:stretch>
      </xdr:blipFill>
      <xdr:spPr>
        <a:xfrm>
          <a:off x="13330555" y="53061235"/>
          <a:ext cx="6981825" cy="3067050"/>
        </a:xfrm>
        <a:prstGeom prst="rect">
          <a:avLst/>
        </a:prstGeom>
        <a:noFill/>
        <a:ln w="9525">
          <a:noFill/>
        </a:ln>
      </xdr:spPr>
    </xdr:pic>
  </etc:cellImage>
  <etc:cellImage>
    <xdr:pic>
      <xdr:nvPicPr>
        <xdr:cNvPr id="507" name="ID_6B58EE95D0784300BFC9218D44CE034C"/>
        <xdr:cNvPicPr>
          <a:picLocks noChangeAspect="1"/>
        </xdr:cNvPicPr>
      </xdr:nvPicPr>
      <xdr:blipFill>
        <a:blip r:embed="rId112"/>
        <a:stretch>
          <a:fillRect/>
        </a:stretch>
      </xdr:blipFill>
      <xdr:spPr>
        <a:xfrm>
          <a:off x="13330555" y="43841035"/>
          <a:ext cx="8372475" cy="2971800"/>
        </a:xfrm>
        <a:prstGeom prst="rect">
          <a:avLst/>
        </a:prstGeom>
        <a:noFill/>
        <a:ln w="9525">
          <a:noFill/>
        </a:ln>
      </xdr:spPr>
    </xdr:pic>
  </etc:cellImage>
  <etc:cellImage>
    <xdr:pic>
      <xdr:nvPicPr>
        <xdr:cNvPr id="508" name="ID_03B797B5BC2C496CB3D963C218B704E4"/>
        <xdr:cNvPicPr>
          <a:picLocks noChangeAspect="1"/>
        </xdr:cNvPicPr>
      </xdr:nvPicPr>
      <xdr:blipFill>
        <a:blip r:embed="rId113"/>
        <a:stretch>
          <a:fillRect/>
        </a:stretch>
      </xdr:blipFill>
      <xdr:spPr>
        <a:xfrm>
          <a:off x="13330555" y="53899435"/>
          <a:ext cx="7038975" cy="1733550"/>
        </a:xfrm>
        <a:prstGeom prst="rect">
          <a:avLst/>
        </a:prstGeom>
        <a:noFill/>
        <a:ln w="9525">
          <a:noFill/>
        </a:ln>
      </xdr:spPr>
    </xdr:pic>
  </etc:cellImage>
  <etc:cellImage>
    <xdr:pic>
      <xdr:nvPicPr>
        <xdr:cNvPr id="509" name="ID_7AB7D869959A4C4F835BE2D9048BD910"/>
        <xdr:cNvPicPr>
          <a:picLocks noChangeAspect="1"/>
        </xdr:cNvPicPr>
      </xdr:nvPicPr>
      <xdr:blipFill>
        <a:blip r:embed="rId114"/>
        <a:stretch>
          <a:fillRect/>
        </a:stretch>
      </xdr:blipFill>
      <xdr:spPr>
        <a:xfrm>
          <a:off x="13330555" y="65424685"/>
          <a:ext cx="7000875" cy="1676400"/>
        </a:xfrm>
        <a:prstGeom prst="rect">
          <a:avLst/>
        </a:prstGeom>
        <a:noFill/>
        <a:ln w="9525">
          <a:noFill/>
        </a:ln>
      </xdr:spPr>
    </xdr:pic>
  </etc:cellImage>
  <etc:cellImage>
    <xdr:pic>
      <xdr:nvPicPr>
        <xdr:cNvPr id="510" name="ID_9415EB3AF93A435EA455691559254210"/>
        <xdr:cNvPicPr>
          <a:picLocks noChangeAspect="1"/>
        </xdr:cNvPicPr>
      </xdr:nvPicPr>
      <xdr:blipFill>
        <a:blip r:embed="rId115"/>
        <a:stretch>
          <a:fillRect/>
        </a:stretch>
      </xdr:blipFill>
      <xdr:spPr>
        <a:xfrm>
          <a:off x="13330555" y="44260135"/>
          <a:ext cx="7924800" cy="3000375"/>
        </a:xfrm>
        <a:prstGeom prst="rect">
          <a:avLst/>
        </a:prstGeom>
        <a:noFill/>
        <a:ln w="9525">
          <a:noFill/>
        </a:ln>
      </xdr:spPr>
    </xdr:pic>
  </etc:cellImage>
  <etc:cellImage>
    <xdr:pic>
      <xdr:nvPicPr>
        <xdr:cNvPr id="511" name="ID_5C89A3198BF64400B63C13B5A4E7784D"/>
        <xdr:cNvPicPr>
          <a:picLocks noChangeAspect="1"/>
        </xdr:cNvPicPr>
      </xdr:nvPicPr>
      <xdr:blipFill>
        <a:blip r:embed="rId116"/>
        <a:stretch>
          <a:fillRect/>
        </a:stretch>
      </xdr:blipFill>
      <xdr:spPr>
        <a:xfrm>
          <a:off x="13330555" y="65843785"/>
          <a:ext cx="7000875" cy="3038475"/>
        </a:xfrm>
        <a:prstGeom prst="rect">
          <a:avLst/>
        </a:prstGeom>
        <a:noFill/>
        <a:ln w="9525">
          <a:noFill/>
        </a:ln>
      </xdr:spPr>
    </xdr:pic>
  </etc:cellImage>
  <etc:cellImage>
    <xdr:pic>
      <xdr:nvPicPr>
        <xdr:cNvPr id="512" name="ID_CC13BC78A5344E3AA8EBC914C2C031B6"/>
        <xdr:cNvPicPr>
          <a:picLocks noChangeAspect="1"/>
        </xdr:cNvPicPr>
      </xdr:nvPicPr>
      <xdr:blipFill>
        <a:blip r:embed="rId117"/>
        <a:stretch>
          <a:fillRect/>
        </a:stretch>
      </xdr:blipFill>
      <xdr:spPr>
        <a:xfrm>
          <a:off x="13330555" y="44679235"/>
          <a:ext cx="7991475" cy="2990850"/>
        </a:xfrm>
        <a:prstGeom prst="rect">
          <a:avLst/>
        </a:prstGeom>
        <a:noFill/>
        <a:ln w="9525">
          <a:noFill/>
        </a:ln>
      </xdr:spPr>
    </xdr:pic>
  </etc:cellImage>
  <etc:cellImage>
    <xdr:pic>
      <xdr:nvPicPr>
        <xdr:cNvPr id="513" name="ID_51B365EC8D44431697504C7428866026"/>
        <xdr:cNvPicPr>
          <a:picLocks noChangeAspect="1"/>
        </xdr:cNvPicPr>
      </xdr:nvPicPr>
      <xdr:blipFill>
        <a:blip r:embed="rId118"/>
        <a:stretch>
          <a:fillRect/>
        </a:stretch>
      </xdr:blipFill>
      <xdr:spPr>
        <a:xfrm>
          <a:off x="13330555" y="45098335"/>
          <a:ext cx="7991475" cy="2962275"/>
        </a:xfrm>
        <a:prstGeom prst="rect">
          <a:avLst/>
        </a:prstGeom>
        <a:noFill/>
        <a:ln w="9525">
          <a:noFill/>
        </a:ln>
      </xdr:spPr>
    </xdr:pic>
  </etc:cellImage>
  <etc:cellImage>
    <xdr:pic>
      <xdr:nvPicPr>
        <xdr:cNvPr id="514" name="ID_FD85C7C96B63427CB302652D190AC7E9"/>
        <xdr:cNvPicPr>
          <a:picLocks noChangeAspect="1"/>
        </xdr:cNvPicPr>
      </xdr:nvPicPr>
      <xdr:blipFill>
        <a:blip r:embed="rId119"/>
        <a:stretch>
          <a:fillRect/>
        </a:stretch>
      </xdr:blipFill>
      <xdr:spPr>
        <a:xfrm>
          <a:off x="13330555" y="45517435"/>
          <a:ext cx="7934325" cy="2971800"/>
        </a:xfrm>
        <a:prstGeom prst="rect">
          <a:avLst/>
        </a:prstGeom>
        <a:noFill/>
        <a:ln w="9525">
          <a:noFill/>
        </a:ln>
      </xdr:spPr>
    </xdr:pic>
  </etc:cellImage>
  <etc:cellImage>
    <xdr:pic>
      <xdr:nvPicPr>
        <xdr:cNvPr id="515" name="ID_A39812796E8146BAA0F475C22E3D0450"/>
        <xdr:cNvPicPr>
          <a:picLocks noChangeAspect="1"/>
        </xdr:cNvPicPr>
      </xdr:nvPicPr>
      <xdr:blipFill>
        <a:blip r:embed="rId120"/>
        <a:stretch>
          <a:fillRect/>
        </a:stretch>
      </xdr:blipFill>
      <xdr:spPr>
        <a:xfrm>
          <a:off x="13330555" y="66681985"/>
          <a:ext cx="7486650" cy="2714625"/>
        </a:xfrm>
        <a:prstGeom prst="rect">
          <a:avLst/>
        </a:prstGeom>
        <a:noFill/>
        <a:ln w="9525">
          <a:noFill/>
        </a:ln>
      </xdr:spPr>
    </xdr:pic>
  </etc:cellImage>
  <etc:cellImage>
    <xdr:pic>
      <xdr:nvPicPr>
        <xdr:cNvPr id="516" name="ID_20D41A4EE0B14E24A79647A749CF6882"/>
        <xdr:cNvPicPr>
          <a:picLocks noChangeAspect="1"/>
        </xdr:cNvPicPr>
      </xdr:nvPicPr>
      <xdr:blipFill>
        <a:blip r:embed="rId121"/>
        <a:stretch>
          <a:fillRect/>
        </a:stretch>
      </xdr:blipFill>
      <xdr:spPr>
        <a:xfrm>
          <a:off x="13330555" y="56204485"/>
          <a:ext cx="7419975" cy="3038475"/>
        </a:xfrm>
        <a:prstGeom prst="rect">
          <a:avLst/>
        </a:prstGeom>
        <a:noFill/>
        <a:ln w="9525">
          <a:noFill/>
        </a:ln>
      </xdr:spPr>
    </xdr:pic>
  </etc:cellImage>
  <etc:cellImage>
    <xdr:pic>
      <xdr:nvPicPr>
        <xdr:cNvPr id="517" name="ID_828BC0F5B1EC4707B953BE29D2BED996"/>
        <xdr:cNvPicPr>
          <a:picLocks noChangeAspect="1"/>
        </xdr:cNvPicPr>
      </xdr:nvPicPr>
      <xdr:blipFill>
        <a:blip r:embed="rId122"/>
        <a:stretch>
          <a:fillRect/>
        </a:stretch>
      </xdr:blipFill>
      <xdr:spPr>
        <a:xfrm>
          <a:off x="13502005" y="67196335"/>
          <a:ext cx="7010400" cy="3086100"/>
        </a:xfrm>
        <a:prstGeom prst="rect">
          <a:avLst/>
        </a:prstGeom>
        <a:noFill/>
        <a:ln w="9525">
          <a:noFill/>
        </a:ln>
      </xdr:spPr>
    </xdr:pic>
  </etc:cellImage>
  <etc:cellImage>
    <xdr:pic>
      <xdr:nvPicPr>
        <xdr:cNvPr id="518" name="ID_CA36B085279648D4A74E30731E745A2F"/>
        <xdr:cNvPicPr>
          <a:picLocks noChangeAspect="1"/>
        </xdr:cNvPicPr>
      </xdr:nvPicPr>
      <xdr:blipFill>
        <a:blip r:embed="rId123"/>
        <a:stretch>
          <a:fillRect/>
        </a:stretch>
      </xdr:blipFill>
      <xdr:spPr>
        <a:xfrm>
          <a:off x="13330555" y="120536335"/>
          <a:ext cx="7515225" cy="3028950"/>
        </a:xfrm>
        <a:prstGeom prst="rect">
          <a:avLst/>
        </a:prstGeom>
        <a:noFill/>
        <a:ln w="9525">
          <a:noFill/>
        </a:ln>
      </xdr:spPr>
    </xdr:pic>
  </etc:cellImage>
  <etc:cellImage>
    <xdr:pic>
      <xdr:nvPicPr>
        <xdr:cNvPr id="519" name="ID_F8E36B72F8174E05A1643883754F5F41"/>
        <xdr:cNvPicPr>
          <a:picLocks noChangeAspect="1"/>
        </xdr:cNvPicPr>
      </xdr:nvPicPr>
      <xdr:blipFill>
        <a:blip r:embed="rId124"/>
        <a:stretch>
          <a:fillRect/>
        </a:stretch>
      </xdr:blipFill>
      <xdr:spPr>
        <a:xfrm>
          <a:off x="13330555" y="45936535"/>
          <a:ext cx="7924800" cy="3000375"/>
        </a:xfrm>
        <a:prstGeom prst="rect">
          <a:avLst/>
        </a:prstGeom>
        <a:noFill/>
        <a:ln w="9525">
          <a:noFill/>
        </a:ln>
      </xdr:spPr>
    </xdr:pic>
  </etc:cellImage>
  <etc:cellImage>
    <xdr:pic>
      <xdr:nvPicPr>
        <xdr:cNvPr id="520" name="ID_7131422BB5B445DEAEEEA820B7A6F5D7"/>
        <xdr:cNvPicPr>
          <a:picLocks noChangeAspect="1"/>
        </xdr:cNvPicPr>
      </xdr:nvPicPr>
      <xdr:blipFill>
        <a:blip r:embed="rId125"/>
        <a:stretch>
          <a:fillRect/>
        </a:stretch>
      </xdr:blipFill>
      <xdr:spPr>
        <a:xfrm>
          <a:off x="13330555" y="46355635"/>
          <a:ext cx="7505700" cy="6172200"/>
        </a:xfrm>
        <a:prstGeom prst="rect">
          <a:avLst/>
        </a:prstGeom>
        <a:noFill/>
        <a:ln w="9525">
          <a:noFill/>
        </a:ln>
      </xdr:spPr>
    </xdr:pic>
  </etc:cellImage>
  <etc:cellImage>
    <xdr:pic>
      <xdr:nvPicPr>
        <xdr:cNvPr id="521" name="ID_5ACE71DB50154208B1BA6B83A1B68FFD"/>
        <xdr:cNvPicPr>
          <a:picLocks noChangeAspect="1"/>
        </xdr:cNvPicPr>
      </xdr:nvPicPr>
      <xdr:blipFill>
        <a:blip r:embed="rId126"/>
        <a:stretch>
          <a:fillRect/>
        </a:stretch>
      </xdr:blipFill>
      <xdr:spPr>
        <a:xfrm>
          <a:off x="13330555" y="67939285"/>
          <a:ext cx="7000875" cy="3086100"/>
        </a:xfrm>
        <a:prstGeom prst="rect">
          <a:avLst/>
        </a:prstGeom>
        <a:noFill/>
        <a:ln w="9525">
          <a:noFill/>
        </a:ln>
      </xdr:spPr>
    </xdr:pic>
  </etc:cellImage>
  <etc:cellImage>
    <xdr:pic>
      <xdr:nvPicPr>
        <xdr:cNvPr id="522" name="ID_5D91F57BFD554545BA1437595177BCA8"/>
        <xdr:cNvPicPr>
          <a:picLocks noChangeAspect="1"/>
        </xdr:cNvPicPr>
      </xdr:nvPicPr>
      <xdr:blipFill>
        <a:blip r:embed="rId127"/>
        <a:stretch>
          <a:fillRect/>
        </a:stretch>
      </xdr:blipFill>
      <xdr:spPr>
        <a:xfrm>
          <a:off x="13330555" y="46774735"/>
          <a:ext cx="7839075" cy="2990850"/>
        </a:xfrm>
        <a:prstGeom prst="rect">
          <a:avLst/>
        </a:prstGeom>
        <a:noFill/>
        <a:ln w="9525">
          <a:noFill/>
        </a:ln>
      </xdr:spPr>
    </xdr:pic>
  </etc:cellImage>
  <etc:cellImage>
    <xdr:pic>
      <xdr:nvPicPr>
        <xdr:cNvPr id="523" name="ID_9109B5C4B0BA4B75A63F0829F679E53D"/>
        <xdr:cNvPicPr>
          <a:picLocks noChangeAspect="1"/>
        </xdr:cNvPicPr>
      </xdr:nvPicPr>
      <xdr:blipFill>
        <a:blip r:embed="rId128"/>
        <a:stretch>
          <a:fillRect/>
        </a:stretch>
      </xdr:blipFill>
      <xdr:spPr>
        <a:xfrm>
          <a:off x="13330555" y="57671335"/>
          <a:ext cx="7458075" cy="3067050"/>
        </a:xfrm>
        <a:prstGeom prst="rect">
          <a:avLst/>
        </a:prstGeom>
        <a:noFill/>
        <a:ln w="9525">
          <a:noFill/>
        </a:ln>
      </xdr:spPr>
    </xdr:pic>
  </etc:cellImage>
  <etc:cellImage>
    <xdr:pic>
      <xdr:nvPicPr>
        <xdr:cNvPr id="524" name="ID_DEE1FE53D2CE44B89C54FB74A87C88DB"/>
        <xdr:cNvPicPr>
          <a:picLocks noChangeAspect="1"/>
        </xdr:cNvPicPr>
      </xdr:nvPicPr>
      <xdr:blipFill>
        <a:blip r:embed="rId129"/>
        <a:stretch>
          <a:fillRect/>
        </a:stretch>
      </xdr:blipFill>
      <xdr:spPr>
        <a:xfrm>
          <a:off x="13330555" y="68358385"/>
          <a:ext cx="6981825" cy="1514475"/>
        </a:xfrm>
        <a:prstGeom prst="rect">
          <a:avLst/>
        </a:prstGeom>
        <a:noFill/>
        <a:ln w="9525">
          <a:noFill/>
        </a:ln>
      </xdr:spPr>
    </xdr:pic>
  </etc:cellImage>
  <etc:cellImage>
    <xdr:pic>
      <xdr:nvPicPr>
        <xdr:cNvPr id="525" name="ID_14A82892D8FD41F78E6937BC3367EF1D"/>
        <xdr:cNvPicPr>
          <a:picLocks noChangeAspect="1"/>
        </xdr:cNvPicPr>
      </xdr:nvPicPr>
      <xdr:blipFill>
        <a:blip r:embed="rId130"/>
        <a:stretch>
          <a:fillRect/>
        </a:stretch>
      </xdr:blipFill>
      <xdr:spPr>
        <a:xfrm>
          <a:off x="13330555" y="47193835"/>
          <a:ext cx="11210925" cy="4410075"/>
        </a:xfrm>
        <a:prstGeom prst="rect">
          <a:avLst/>
        </a:prstGeom>
        <a:noFill/>
        <a:ln w="9525">
          <a:noFill/>
        </a:ln>
      </xdr:spPr>
    </xdr:pic>
  </etc:cellImage>
  <etc:cellImage>
    <xdr:pic>
      <xdr:nvPicPr>
        <xdr:cNvPr id="526" name="ID_A407F8C4C6434FC38945FBEE3CD0479F"/>
        <xdr:cNvPicPr>
          <a:picLocks noChangeAspect="1"/>
        </xdr:cNvPicPr>
      </xdr:nvPicPr>
      <xdr:blipFill>
        <a:blip r:embed="rId131"/>
        <a:stretch>
          <a:fillRect/>
        </a:stretch>
      </xdr:blipFill>
      <xdr:spPr>
        <a:xfrm>
          <a:off x="13330555" y="58509535"/>
          <a:ext cx="7429500" cy="2924175"/>
        </a:xfrm>
        <a:prstGeom prst="rect">
          <a:avLst/>
        </a:prstGeom>
        <a:noFill/>
        <a:ln w="9525">
          <a:noFill/>
        </a:ln>
      </xdr:spPr>
    </xdr:pic>
  </etc:cellImage>
  <etc:cellImage>
    <xdr:pic>
      <xdr:nvPicPr>
        <xdr:cNvPr id="527" name="ID_192BBC6F54A04CEE8F48E3CE66513D31"/>
        <xdr:cNvPicPr>
          <a:picLocks noChangeAspect="1"/>
        </xdr:cNvPicPr>
      </xdr:nvPicPr>
      <xdr:blipFill>
        <a:blip r:embed="rId132"/>
        <a:stretch>
          <a:fillRect/>
        </a:stretch>
      </xdr:blipFill>
      <xdr:spPr>
        <a:xfrm>
          <a:off x="13330555" y="47612935"/>
          <a:ext cx="7839075" cy="3009900"/>
        </a:xfrm>
        <a:prstGeom prst="rect">
          <a:avLst/>
        </a:prstGeom>
        <a:noFill/>
        <a:ln w="9525">
          <a:noFill/>
        </a:ln>
      </xdr:spPr>
    </xdr:pic>
  </etc:cellImage>
  <etc:cellImage>
    <xdr:pic>
      <xdr:nvPicPr>
        <xdr:cNvPr id="528" name="ID_D6DC076ACBE24E928E44CE4191293478"/>
        <xdr:cNvPicPr>
          <a:picLocks noChangeAspect="1"/>
        </xdr:cNvPicPr>
      </xdr:nvPicPr>
      <xdr:blipFill>
        <a:blip r:embed="rId133"/>
        <a:stretch>
          <a:fillRect/>
        </a:stretch>
      </xdr:blipFill>
      <xdr:spPr>
        <a:xfrm>
          <a:off x="13330555" y="48032035"/>
          <a:ext cx="7858125" cy="2990850"/>
        </a:xfrm>
        <a:prstGeom prst="rect">
          <a:avLst/>
        </a:prstGeom>
        <a:noFill/>
        <a:ln w="9525">
          <a:noFill/>
        </a:ln>
      </xdr:spPr>
    </xdr:pic>
  </etc:cellImage>
  <etc:cellImage>
    <xdr:pic>
      <xdr:nvPicPr>
        <xdr:cNvPr id="529" name="ID_7AEE4545520E4B539621C3A927B879D9"/>
        <xdr:cNvPicPr>
          <a:picLocks noChangeAspect="1"/>
        </xdr:cNvPicPr>
      </xdr:nvPicPr>
      <xdr:blipFill>
        <a:blip r:embed="rId134"/>
        <a:stretch>
          <a:fillRect/>
        </a:stretch>
      </xdr:blipFill>
      <xdr:spPr>
        <a:xfrm>
          <a:off x="13330555" y="49289335"/>
          <a:ext cx="7410450" cy="2143125"/>
        </a:xfrm>
        <a:prstGeom prst="rect">
          <a:avLst/>
        </a:prstGeom>
        <a:noFill/>
        <a:ln w="9525">
          <a:noFill/>
        </a:ln>
      </xdr:spPr>
    </xdr:pic>
  </etc:cellImage>
  <etc:cellImage>
    <xdr:pic>
      <xdr:nvPicPr>
        <xdr:cNvPr id="530" name="ID_F5164A13F2BB44A78B5F33FF60D413A2"/>
        <xdr:cNvPicPr>
          <a:picLocks noChangeAspect="1"/>
        </xdr:cNvPicPr>
      </xdr:nvPicPr>
      <xdr:blipFill>
        <a:blip r:embed="rId135"/>
        <a:stretch>
          <a:fillRect/>
        </a:stretch>
      </xdr:blipFill>
      <xdr:spPr>
        <a:xfrm>
          <a:off x="13330555" y="50127535"/>
          <a:ext cx="7877175" cy="2971800"/>
        </a:xfrm>
        <a:prstGeom prst="rect">
          <a:avLst/>
        </a:prstGeom>
        <a:noFill/>
        <a:ln w="9525">
          <a:noFill/>
        </a:ln>
      </xdr:spPr>
    </xdr:pic>
  </etc:cellImage>
  <etc:cellImage>
    <xdr:pic>
      <xdr:nvPicPr>
        <xdr:cNvPr id="531" name="ID_2FDABA928A3D41EBACD5BA7B3102D43D"/>
        <xdr:cNvPicPr>
          <a:picLocks noChangeAspect="1"/>
        </xdr:cNvPicPr>
      </xdr:nvPicPr>
      <xdr:blipFill>
        <a:blip r:embed="rId136"/>
        <a:stretch>
          <a:fillRect/>
        </a:stretch>
      </xdr:blipFill>
      <xdr:spPr>
        <a:xfrm>
          <a:off x="13330555" y="50965735"/>
          <a:ext cx="7439025" cy="3028950"/>
        </a:xfrm>
        <a:prstGeom prst="rect">
          <a:avLst/>
        </a:prstGeom>
        <a:noFill/>
        <a:ln w="9525">
          <a:noFill/>
        </a:ln>
      </xdr:spPr>
    </xdr:pic>
  </etc:cellImage>
  <etc:cellImage>
    <xdr:pic>
      <xdr:nvPicPr>
        <xdr:cNvPr id="532" name="ID_19F930A481424A0DB29F0F713110B3A1"/>
        <xdr:cNvPicPr>
          <a:picLocks noChangeAspect="1"/>
        </xdr:cNvPicPr>
      </xdr:nvPicPr>
      <xdr:blipFill>
        <a:blip r:embed="rId137"/>
        <a:stretch>
          <a:fillRect/>
        </a:stretch>
      </xdr:blipFill>
      <xdr:spPr>
        <a:xfrm>
          <a:off x="13330555" y="51803935"/>
          <a:ext cx="7896225" cy="3009900"/>
        </a:xfrm>
        <a:prstGeom prst="rect">
          <a:avLst/>
        </a:prstGeom>
        <a:noFill/>
        <a:ln w="9525">
          <a:noFill/>
        </a:ln>
      </xdr:spPr>
    </xdr:pic>
  </etc:cellImage>
  <etc:cellImage>
    <xdr:pic>
      <xdr:nvPicPr>
        <xdr:cNvPr id="533" name="ID_50813D7EC03348E4844A9F10AEC101F3"/>
        <xdr:cNvPicPr>
          <a:picLocks noChangeAspect="1"/>
        </xdr:cNvPicPr>
      </xdr:nvPicPr>
      <xdr:blipFill>
        <a:blip r:embed="rId138"/>
        <a:stretch>
          <a:fillRect/>
        </a:stretch>
      </xdr:blipFill>
      <xdr:spPr>
        <a:xfrm>
          <a:off x="13330555" y="52642135"/>
          <a:ext cx="7000875" cy="2143125"/>
        </a:xfrm>
        <a:prstGeom prst="rect">
          <a:avLst/>
        </a:prstGeom>
        <a:noFill/>
        <a:ln w="9525">
          <a:noFill/>
        </a:ln>
      </xdr:spPr>
    </xdr:pic>
  </etc:cellImage>
  <etc:cellImage>
    <xdr:pic>
      <xdr:nvPicPr>
        <xdr:cNvPr id="534" name="ID_BEDC2A90D7AA4BBC980E405380BA4722"/>
        <xdr:cNvPicPr>
          <a:picLocks noChangeAspect="1"/>
        </xdr:cNvPicPr>
      </xdr:nvPicPr>
      <xdr:blipFill>
        <a:blip r:embed="rId139"/>
        <a:stretch>
          <a:fillRect/>
        </a:stretch>
      </xdr:blipFill>
      <xdr:spPr>
        <a:xfrm>
          <a:off x="13330555" y="53480335"/>
          <a:ext cx="6972300" cy="1695450"/>
        </a:xfrm>
        <a:prstGeom prst="rect">
          <a:avLst/>
        </a:prstGeom>
        <a:noFill/>
        <a:ln w="9525">
          <a:noFill/>
        </a:ln>
      </xdr:spPr>
    </xdr:pic>
  </etc:cellImage>
  <etc:cellImage>
    <xdr:pic>
      <xdr:nvPicPr>
        <xdr:cNvPr id="535" name="ID_9AE786F157734493946ECBFD6D4C32A0"/>
        <xdr:cNvPicPr>
          <a:picLocks noChangeAspect="1"/>
        </xdr:cNvPicPr>
      </xdr:nvPicPr>
      <xdr:blipFill>
        <a:blip r:embed="rId140"/>
        <a:stretch>
          <a:fillRect/>
        </a:stretch>
      </xdr:blipFill>
      <xdr:spPr>
        <a:xfrm>
          <a:off x="13330555" y="54318535"/>
          <a:ext cx="6991350" cy="3067050"/>
        </a:xfrm>
        <a:prstGeom prst="rect">
          <a:avLst/>
        </a:prstGeom>
        <a:noFill/>
        <a:ln w="9525">
          <a:noFill/>
        </a:ln>
      </xdr:spPr>
    </xdr:pic>
  </etc:cellImage>
  <etc:cellImage>
    <xdr:pic>
      <xdr:nvPicPr>
        <xdr:cNvPr id="536" name="ID_BD1460AA726C4B15BC6F7929DEB54B5E"/>
        <xdr:cNvPicPr>
          <a:picLocks noChangeAspect="1"/>
        </xdr:cNvPicPr>
      </xdr:nvPicPr>
      <xdr:blipFill>
        <a:blip r:embed="rId141"/>
        <a:stretch>
          <a:fillRect/>
        </a:stretch>
      </xdr:blipFill>
      <xdr:spPr>
        <a:xfrm>
          <a:off x="13330555" y="54947185"/>
          <a:ext cx="7029450" cy="2305050"/>
        </a:xfrm>
        <a:prstGeom prst="rect">
          <a:avLst/>
        </a:prstGeom>
        <a:noFill/>
        <a:ln w="9525">
          <a:noFill/>
        </a:ln>
      </xdr:spPr>
    </xdr:pic>
  </etc:cellImage>
  <etc:cellImage>
    <xdr:pic>
      <xdr:nvPicPr>
        <xdr:cNvPr id="537" name="ID_F7C79943243C4C8D88C474B31967A662"/>
        <xdr:cNvPicPr>
          <a:picLocks noChangeAspect="1"/>
        </xdr:cNvPicPr>
      </xdr:nvPicPr>
      <xdr:blipFill>
        <a:blip r:embed="rId142"/>
        <a:stretch>
          <a:fillRect/>
        </a:stretch>
      </xdr:blipFill>
      <xdr:spPr>
        <a:xfrm>
          <a:off x="13330555" y="66262885"/>
          <a:ext cx="7019925" cy="3057525"/>
        </a:xfrm>
        <a:prstGeom prst="rect">
          <a:avLst/>
        </a:prstGeom>
        <a:noFill/>
        <a:ln w="9525">
          <a:noFill/>
        </a:ln>
      </xdr:spPr>
    </xdr:pic>
  </etc:cellImage>
  <etc:cellImage>
    <xdr:pic>
      <xdr:nvPicPr>
        <xdr:cNvPr id="538" name="ID_6DB9FAAE2D134FE899494B511C873B51"/>
        <xdr:cNvPicPr>
          <a:picLocks noChangeAspect="1"/>
        </xdr:cNvPicPr>
      </xdr:nvPicPr>
      <xdr:blipFill>
        <a:blip r:embed="rId143"/>
        <a:stretch>
          <a:fillRect/>
        </a:stretch>
      </xdr:blipFill>
      <xdr:spPr>
        <a:xfrm>
          <a:off x="13330555" y="114040285"/>
          <a:ext cx="9039225" cy="4219575"/>
        </a:xfrm>
        <a:prstGeom prst="rect">
          <a:avLst/>
        </a:prstGeom>
        <a:noFill/>
        <a:ln w="9525">
          <a:noFill/>
        </a:ln>
      </xdr:spPr>
    </xdr:pic>
  </etc:cellImage>
  <etc:cellImage>
    <xdr:pic>
      <xdr:nvPicPr>
        <xdr:cNvPr id="539" name="ID_ADC8CCD54DEF404F85F5F47C2AEEED44"/>
        <xdr:cNvPicPr>
          <a:picLocks noChangeAspect="1"/>
        </xdr:cNvPicPr>
      </xdr:nvPicPr>
      <xdr:blipFill>
        <a:blip r:embed="rId144"/>
        <a:stretch>
          <a:fillRect/>
        </a:stretch>
      </xdr:blipFill>
      <xdr:spPr>
        <a:xfrm>
          <a:off x="13330555" y="104400985"/>
          <a:ext cx="7991475" cy="3048000"/>
        </a:xfrm>
        <a:prstGeom prst="rect">
          <a:avLst/>
        </a:prstGeom>
        <a:noFill/>
        <a:ln w="9525">
          <a:noFill/>
        </a:ln>
      </xdr:spPr>
    </xdr:pic>
  </etc:cellImage>
  <etc:cellImage>
    <xdr:pic>
      <xdr:nvPicPr>
        <xdr:cNvPr id="540" name="ID_2DDEE16F992C4338BAB0AFC677A63ED0"/>
        <xdr:cNvPicPr>
          <a:picLocks noChangeAspect="1"/>
        </xdr:cNvPicPr>
      </xdr:nvPicPr>
      <xdr:blipFill>
        <a:blip r:embed="rId145"/>
        <a:stretch>
          <a:fillRect/>
        </a:stretch>
      </xdr:blipFill>
      <xdr:spPr>
        <a:xfrm>
          <a:off x="13730605" y="55423435"/>
          <a:ext cx="7458075" cy="3057525"/>
        </a:xfrm>
        <a:prstGeom prst="rect">
          <a:avLst/>
        </a:prstGeom>
        <a:noFill/>
        <a:ln w="9525">
          <a:noFill/>
        </a:ln>
      </xdr:spPr>
    </xdr:pic>
  </etc:cellImage>
  <etc:cellImage>
    <xdr:pic>
      <xdr:nvPicPr>
        <xdr:cNvPr id="541" name="ID_2177D36DAB2E4DBDB439777381477C19"/>
        <xdr:cNvPicPr>
          <a:picLocks noChangeAspect="1"/>
        </xdr:cNvPicPr>
      </xdr:nvPicPr>
      <xdr:blipFill>
        <a:blip r:embed="rId146"/>
        <a:stretch>
          <a:fillRect/>
        </a:stretch>
      </xdr:blipFill>
      <xdr:spPr>
        <a:xfrm>
          <a:off x="13330555" y="57252235"/>
          <a:ext cx="7429500" cy="3076575"/>
        </a:xfrm>
        <a:prstGeom prst="rect">
          <a:avLst/>
        </a:prstGeom>
        <a:noFill/>
        <a:ln w="9525">
          <a:noFill/>
        </a:ln>
      </xdr:spPr>
    </xdr:pic>
  </etc:cellImage>
  <etc:cellImage>
    <xdr:pic>
      <xdr:nvPicPr>
        <xdr:cNvPr id="542" name="ID_ECB6057CE1834EB0A07B24C9AEFEFBEB"/>
        <xdr:cNvPicPr>
          <a:picLocks noChangeAspect="1"/>
        </xdr:cNvPicPr>
      </xdr:nvPicPr>
      <xdr:blipFill>
        <a:blip r:embed="rId147"/>
        <a:stretch>
          <a:fillRect/>
        </a:stretch>
      </xdr:blipFill>
      <xdr:spPr>
        <a:xfrm>
          <a:off x="13330555" y="131013835"/>
          <a:ext cx="7924800" cy="3028950"/>
        </a:xfrm>
        <a:prstGeom prst="rect">
          <a:avLst/>
        </a:prstGeom>
        <a:noFill/>
        <a:ln w="9525">
          <a:noFill/>
        </a:ln>
      </xdr:spPr>
    </xdr:pic>
  </etc:cellImage>
  <etc:cellImage>
    <xdr:pic>
      <xdr:nvPicPr>
        <xdr:cNvPr id="543" name="ID_F2EEB39A340A4F458F7432C349D441E6"/>
        <xdr:cNvPicPr>
          <a:picLocks noChangeAspect="1"/>
        </xdr:cNvPicPr>
      </xdr:nvPicPr>
      <xdr:blipFill>
        <a:blip r:embed="rId148"/>
        <a:stretch>
          <a:fillRect/>
        </a:stretch>
      </xdr:blipFill>
      <xdr:spPr>
        <a:xfrm>
          <a:off x="13530580" y="90494485"/>
          <a:ext cx="7448550" cy="1533525"/>
        </a:xfrm>
        <a:prstGeom prst="rect">
          <a:avLst/>
        </a:prstGeom>
        <a:noFill/>
        <a:ln w="9525">
          <a:noFill/>
        </a:ln>
      </xdr:spPr>
    </xdr:pic>
  </etc:cellImage>
  <etc:cellImage>
    <xdr:pic>
      <xdr:nvPicPr>
        <xdr:cNvPr id="544" name="ID_AFF4CC95155142B3822497684BEC69D9"/>
        <xdr:cNvPicPr>
          <a:picLocks noChangeAspect="1"/>
        </xdr:cNvPicPr>
      </xdr:nvPicPr>
      <xdr:blipFill>
        <a:blip r:embed="rId149"/>
        <a:stretch>
          <a:fillRect/>
        </a:stretch>
      </xdr:blipFill>
      <xdr:spPr>
        <a:xfrm>
          <a:off x="13330555" y="58090435"/>
          <a:ext cx="7486650" cy="2990850"/>
        </a:xfrm>
        <a:prstGeom prst="rect">
          <a:avLst/>
        </a:prstGeom>
        <a:noFill/>
        <a:ln w="9525">
          <a:noFill/>
        </a:ln>
      </xdr:spPr>
    </xdr:pic>
  </etc:cellImage>
  <etc:cellImage>
    <xdr:pic>
      <xdr:nvPicPr>
        <xdr:cNvPr id="545" name="ID_4DB724AB6975480F8F8C73F9E17CBF44"/>
        <xdr:cNvPicPr>
          <a:picLocks noChangeAspect="1"/>
        </xdr:cNvPicPr>
      </xdr:nvPicPr>
      <xdr:blipFill>
        <a:blip r:embed="rId150"/>
        <a:stretch>
          <a:fillRect/>
        </a:stretch>
      </xdr:blipFill>
      <xdr:spPr>
        <a:xfrm>
          <a:off x="13330555" y="58928635"/>
          <a:ext cx="7496175" cy="3057525"/>
        </a:xfrm>
        <a:prstGeom prst="rect">
          <a:avLst/>
        </a:prstGeom>
        <a:noFill/>
        <a:ln w="9525">
          <a:noFill/>
        </a:ln>
      </xdr:spPr>
    </xdr:pic>
  </etc:cellImage>
  <etc:cellImage>
    <xdr:pic>
      <xdr:nvPicPr>
        <xdr:cNvPr id="546" name="ID_CB1E7FA9C76141FEBBABB79EFAF054FC"/>
        <xdr:cNvPicPr>
          <a:picLocks noChangeAspect="1"/>
        </xdr:cNvPicPr>
      </xdr:nvPicPr>
      <xdr:blipFill>
        <a:blip r:embed="rId151"/>
        <a:stretch>
          <a:fillRect/>
        </a:stretch>
      </xdr:blipFill>
      <xdr:spPr>
        <a:xfrm>
          <a:off x="13330555" y="60814585"/>
          <a:ext cx="7010400" cy="3000375"/>
        </a:xfrm>
        <a:prstGeom prst="rect">
          <a:avLst/>
        </a:prstGeom>
        <a:noFill/>
        <a:ln w="9525">
          <a:noFill/>
        </a:ln>
      </xdr:spPr>
    </xdr:pic>
  </etc:cellImage>
  <etc:cellImage>
    <xdr:pic>
      <xdr:nvPicPr>
        <xdr:cNvPr id="548" name="ID_1E93E0A0EF32418FA934BBD52672C094"/>
        <xdr:cNvPicPr>
          <a:picLocks noChangeAspect="1"/>
        </xdr:cNvPicPr>
      </xdr:nvPicPr>
      <xdr:blipFill>
        <a:blip r:embed="rId152"/>
        <a:stretch>
          <a:fillRect/>
        </a:stretch>
      </xdr:blipFill>
      <xdr:spPr>
        <a:xfrm>
          <a:off x="13330555" y="63329185"/>
          <a:ext cx="7010400" cy="1657350"/>
        </a:xfrm>
        <a:prstGeom prst="rect">
          <a:avLst/>
        </a:prstGeom>
        <a:noFill/>
        <a:ln w="9525">
          <a:noFill/>
        </a:ln>
      </xdr:spPr>
    </xdr:pic>
  </etc:cellImage>
  <etc:cellImage>
    <xdr:pic>
      <xdr:nvPicPr>
        <xdr:cNvPr id="549" name="ID_898C036DEBA54DD59CFCD5293F3C3C28"/>
        <xdr:cNvPicPr>
          <a:picLocks noChangeAspect="1"/>
        </xdr:cNvPicPr>
      </xdr:nvPicPr>
      <xdr:blipFill>
        <a:blip r:embed="rId153"/>
        <a:stretch>
          <a:fillRect/>
        </a:stretch>
      </xdr:blipFill>
      <xdr:spPr>
        <a:xfrm>
          <a:off x="13330555" y="64586485"/>
          <a:ext cx="6981825" cy="1685925"/>
        </a:xfrm>
        <a:prstGeom prst="rect">
          <a:avLst/>
        </a:prstGeom>
        <a:noFill/>
        <a:ln w="9525">
          <a:noFill/>
        </a:ln>
      </xdr:spPr>
    </xdr:pic>
  </etc:cellImage>
  <etc:cellImage>
    <xdr:pic>
      <xdr:nvPicPr>
        <xdr:cNvPr id="550" name="ID_A9E22658435F458289D0A6F2F98FA7B2"/>
        <xdr:cNvPicPr>
          <a:picLocks noChangeAspect="1"/>
        </xdr:cNvPicPr>
      </xdr:nvPicPr>
      <xdr:blipFill>
        <a:blip r:embed="rId154"/>
        <a:stretch>
          <a:fillRect/>
        </a:stretch>
      </xdr:blipFill>
      <xdr:spPr>
        <a:xfrm>
          <a:off x="13330555" y="65005585"/>
          <a:ext cx="6962775" cy="1733550"/>
        </a:xfrm>
        <a:prstGeom prst="rect">
          <a:avLst/>
        </a:prstGeom>
        <a:noFill/>
        <a:ln w="9525">
          <a:noFill/>
        </a:ln>
      </xdr:spPr>
    </xdr:pic>
  </etc:cellImage>
  <etc:cellImage>
    <xdr:pic>
      <xdr:nvPicPr>
        <xdr:cNvPr id="551" name="ID_11B3329169664169A2B9932E43E76771"/>
        <xdr:cNvPicPr>
          <a:picLocks noChangeAspect="1"/>
        </xdr:cNvPicPr>
      </xdr:nvPicPr>
      <xdr:blipFill>
        <a:blip r:embed="rId155"/>
        <a:stretch>
          <a:fillRect/>
        </a:stretch>
      </xdr:blipFill>
      <xdr:spPr>
        <a:xfrm>
          <a:off x="13330555" y="108591985"/>
          <a:ext cx="8058150" cy="3800475"/>
        </a:xfrm>
        <a:prstGeom prst="rect">
          <a:avLst/>
        </a:prstGeom>
        <a:noFill/>
        <a:ln w="9525">
          <a:noFill/>
        </a:ln>
      </xdr:spPr>
    </xdr:pic>
  </etc:cellImage>
  <etc:cellImage>
    <xdr:pic>
      <xdr:nvPicPr>
        <xdr:cNvPr id="552" name="ID_4DD144FCF60D400DBE5AB5B0C85B5BFF"/>
        <xdr:cNvPicPr>
          <a:picLocks noChangeAspect="1"/>
        </xdr:cNvPicPr>
      </xdr:nvPicPr>
      <xdr:blipFill>
        <a:blip r:embed="rId156"/>
        <a:stretch>
          <a:fillRect/>
        </a:stretch>
      </xdr:blipFill>
      <xdr:spPr>
        <a:xfrm>
          <a:off x="13330555" y="80931385"/>
          <a:ext cx="7019925" cy="3067050"/>
        </a:xfrm>
        <a:prstGeom prst="rect">
          <a:avLst/>
        </a:prstGeom>
        <a:noFill/>
        <a:ln w="9525">
          <a:noFill/>
        </a:ln>
      </xdr:spPr>
    </xdr:pic>
  </etc:cellImage>
  <etc:cellImage>
    <xdr:pic>
      <xdr:nvPicPr>
        <xdr:cNvPr id="553" name="ID_B466CD58A0CC4B4E94B0E5E8608F73FD"/>
        <xdr:cNvPicPr>
          <a:picLocks noChangeAspect="1"/>
        </xdr:cNvPicPr>
      </xdr:nvPicPr>
      <xdr:blipFill>
        <a:blip r:embed="rId157"/>
        <a:stretch>
          <a:fillRect/>
        </a:stretch>
      </xdr:blipFill>
      <xdr:spPr>
        <a:xfrm>
          <a:off x="13330555" y="67520185"/>
          <a:ext cx="7000875" cy="1485900"/>
        </a:xfrm>
        <a:prstGeom prst="rect">
          <a:avLst/>
        </a:prstGeom>
        <a:noFill/>
        <a:ln w="9525">
          <a:noFill/>
        </a:ln>
      </xdr:spPr>
    </xdr:pic>
  </etc:cellImage>
  <etc:cellImage>
    <xdr:pic>
      <xdr:nvPicPr>
        <xdr:cNvPr id="554" name="ID_5796401BD6834B678A471C4B5904EF29"/>
        <xdr:cNvPicPr>
          <a:picLocks noChangeAspect="1"/>
        </xdr:cNvPicPr>
      </xdr:nvPicPr>
      <xdr:blipFill>
        <a:blip r:embed="rId158"/>
        <a:stretch>
          <a:fillRect/>
        </a:stretch>
      </xdr:blipFill>
      <xdr:spPr>
        <a:xfrm>
          <a:off x="13330555" y="68777485"/>
          <a:ext cx="7410450" cy="2657475"/>
        </a:xfrm>
        <a:prstGeom prst="rect">
          <a:avLst/>
        </a:prstGeom>
        <a:noFill/>
        <a:ln w="9525">
          <a:noFill/>
        </a:ln>
      </xdr:spPr>
    </xdr:pic>
  </etc:cellImage>
  <etc:cellImage>
    <xdr:pic>
      <xdr:nvPicPr>
        <xdr:cNvPr id="555" name="ID_E23E831B8BC74916A23CA21675DAD1A9"/>
        <xdr:cNvPicPr>
          <a:picLocks noChangeAspect="1"/>
        </xdr:cNvPicPr>
      </xdr:nvPicPr>
      <xdr:blipFill>
        <a:blip r:embed="rId159"/>
        <a:stretch>
          <a:fillRect/>
        </a:stretch>
      </xdr:blipFill>
      <xdr:spPr>
        <a:xfrm>
          <a:off x="13330555" y="69196585"/>
          <a:ext cx="7419975" cy="2771775"/>
        </a:xfrm>
        <a:prstGeom prst="rect">
          <a:avLst/>
        </a:prstGeom>
        <a:noFill/>
        <a:ln w="9525">
          <a:noFill/>
        </a:ln>
      </xdr:spPr>
    </xdr:pic>
  </etc:cellImage>
  <etc:cellImage>
    <xdr:pic>
      <xdr:nvPicPr>
        <xdr:cNvPr id="556" name="ID_284DF31270854151AA15A62ADC0B122F"/>
        <xdr:cNvPicPr>
          <a:picLocks noChangeAspect="1"/>
        </xdr:cNvPicPr>
      </xdr:nvPicPr>
      <xdr:blipFill>
        <a:blip r:embed="rId160"/>
        <a:stretch>
          <a:fillRect/>
        </a:stretch>
      </xdr:blipFill>
      <xdr:spPr>
        <a:xfrm>
          <a:off x="13330555" y="70034785"/>
          <a:ext cx="7019925" cy="1495425"/>
        </a:xfrm>
        <a:prstGeom prst="rect">
          <a:avLst/>
        </a:prstGeom>
        <a:noFill/>
        <a:ln w="9525">
          <a:noFill/>
        </a:ln>
      </xdr:spPr>
    </xdr:pic>
  </etc:cellImage>
  <etc:cellImage>
    <xdr:pic>
      <xdr:nvPicPr>
        <xdr:cNvPr id="557" name="ID_B9E2C376069642B89C0EBBEEF6144647"/>
        <xdr:cNvPicPr>
          <a:picLocks noChangeAspect="1"/>
        </xdr:cNvPicPr>
      </xdr:nvPicPr>
      <xdr:blipFill>
        <a:blip r:embed="rId161"/>
        <a:stretch>
          <a:fillRect/>
        </a:stretch>
      </xdr:blipFill>
      <xdr:spPr>
        <a:xfrm>
          <a:off x="13330555" y="70663435"/>
          <a:ext cx="7439025" cy="1924050"/>
        </a:xfrm>
        <a:prstGeom prst="rect">
          <a:avLst/>
        </a:prstGeom>
        <a:noFill/>
        <a:ln w="9525">
          <a:noFill/>
        </a:ln>
      </xdr:spPr>
    </xdr:pic>
  </etc:cellImage>
  <etc:cellImage>
    <xdr:pic>
      <xdr:nvPicPr>
        <xdr:cNvPr id="558" name="ID_F10497A7D2A843BEB804E1087FFAEE33"/>
        <xdr:cNvPicPr>
          <a:picLocks noChangeAspect="1"/>
        </xdr:cNvPicPr>
      </xdr:nvPicPr>
      <xdr:blipFill>
        <a:blip r:embed="rId162"/>
        <a:stretch>
          <a:fillRect/>
        </a:stretch>
      </xdr:blipFill>
      <xdr:spPr>
        <a:xfrm>
          <a:off x="13330555" y="81560035"/>
          <a:ext cx="7038975" cy="3067050"/>
        </a:xfrm>
        <a:prstGeom prst="rect">
          <a:avLst/>
        </a:prstGeom>
        <a:noFill/>
        <a:ln w="9525">
          <a:noFill/>
        </a:ln>
      </xdr:spPr>
    </xdr:pic>
  </etc:cellImage>
  <etc:cellImage>
    <xdr:pic>
      <xdr:nvPicPr>
        <xdr:cNvPr id="559" name="ID_9E1577DA0A8F44BB9AADCB843EA220D5"/>
        <xdr:cNvPicPr>
          <a:picLocks noChangeAspect="1"/>
        </xdr:cNvPicPr>
      </xdr:nvPicPr>
      <xdr:blipFill>
        <a:blip r:embed="rId163"/>
        <a:stretch>
          <a:fillRect/>
        </a:stretch>
      </xdr:blipFill>
      <xdr:spPr>
        <a:xfrm>
          <a:off x="13330555" y="71292085"/>
          <a:ext cx="7391400" cy="2600325"/>
        </a:xfrm>
        <a:prstGeom prst="rect">
          <a:avLst/>
        </a:prstGeom>
        <a:noFill/>
        <a:ln w="9525">
          <a:noFill/>
        </a:ln>
      </xdr:spPr>
    </xdr:pic>
  </etc:cellImage>
  <etc:cellImage>
    <xdr:pic>
      <xdr:nvPicPr>
        <xdr:cNvPr id="560" name="ID_E23275AE38E44C5EAD7811FD70109985"/>
        <xdr:cNvPicPr>
          <a:picLocks noChangeAspect="1"/>
        </xdr:cNvPicPr>
      </xdr:nvPicPr>
      <xdr:blipFill>
        <a:blip r:embed="rId164"/>
        <a:stretch>
          <a:fillRect/>
        </a:stretch>
      </xdr:blipFill>
      <xdr:spPr>
        <a:xfrm>
          <a:off x="13330555" y="71711185"/>
          <a:ext cx="7096125" cy="2238375"/>
        </a:xfrm>
        <a:prstGeom prst="rect">
          <a:avLst/>
        </a:prstGeom>
        <a:noFill/>
        <a:ln w="9525">
          <a:noFill/>
        </a:ln>
      </xdr:spPr>
    </xdr:pic>
  </etc:cellImage>
  <etc:cellImage>
    <xdr:pic>
      <xdr:nvPicPr>
        <xdr:cNvPr id="561" name="ID_E83A4408B5504DE8939C85229367DB73"/>
        <xdr:cNvPicPr>
          <a:picLocks noChangeAspect="1"/>
        </xdr:cNvPicPr>
      </xdr:nvPicPr>
      <xdr:blipFill>
        <a:blip r:embed="rId165"/>
        <a:stretch>
          <a:fillRect/>
        </a:stretch>
      </xdr:blipFill>
      <xdr:spPr>
        <a:xfrm>
          <a:off x="13330555" y="109849285"/>
          <a:ext cx="11487150" cy="3352800"/>
        </a:xfrm>
        <a:prstGeom prst="rect">
          <a:avLst/>
        </a:prstGeom>
        <a:noFill/>
        <a:ln w="9525">
          <a:noFill/>
        </a:ln>
      </xdr:spPr>
    </xdr:pic>
  </etc:cellImage>
  <etc:cellImage>
    <xdr:pic>
      <xdr:nvPicPr>
        <xdr:cNvPr id="562" name="ID_115439742B1C46D996B2A654D9D2E7E0"/>
        <xdr:cNvPicPr>
          <a:picLocks noChangeAspect="1"/>
        </xdr:cNvPicPr>
      </xdr:nvPicPr>
      <xdr:blipFill>
        <a:blip r:embed="rId166"/>
        <a:stretch>
          <a:fillRect/>
        </a:stretch>
      </xdr:blipFill>
      <xdr:spPr>
        <a:xfrm>
          <a:off x="13330555" y="100000435"/>
          <a:ext cx="7429500" cy="3067050"/>
        </a:xfrm>
        <a:prstGeom prst="rect">
          <a:avLst/>
        </a:prstGeom>
        <a:noFill/>
        <a:ln w="9525">
          <a:noFill/>
        </a:ln>
      </xdr:spPr>
    </xdr:pic>
  </etc:cellImage>
  <etc:cellImage>
    <xdr:pic>
      <xdr:nvPicPr>
        <xdr:cNvPr id="563" name="ID_62BE90AD19C84154A53C12EDF1824CFF"/>
        <xdr:cNvPicPr>
          <a:picLocks noChangeAspect="1"/>
        </xdr:cNvPicPr>
      </xdr:nvPicPr>
      <xdr:blipFill>
        <a:blip r:embed="rId167"/>
        <a:stretch>
          <a:fillRect/>
        </a:stretch>
      </xdr:blipFill>
      <xdr:spPr>
        <a:xfrm>
          <a:off x="13330555" y="82398235"/>
          <a:ext cx="12268200" cy="3105150"/>
        </a:xfrm>
        <a:prstGeom prst="rect">
          <a:avLst/>
        </a:prstGeom>
        <a:noFill/>
        <a:ln w="9525">
          <a:noFill/>
        </a:ln>
      </xdr:spPr>
    </xdr:pic>
  </etc:cellImage>
  <etc:cellImage>
    <xdr:pic>
      <xdr:nvPicPr>
        <xdr:cNvPr id="564" name="ID_5BAB0972D5C341B99EF2F322053779B1"/>
        <xdr:cNvPicPr>
          <a:picLocks noChangeAspect="1"/>
        </xdr:cNvPicPr>
      </xdr:nvPicPr>
      <xdr:blipFill>
        <a:blip r:embed="rId168"/>
        <a:stretch>
          <a:fillRect/>
        </a:stretch>
      </xdr:blipFill>
      <xdr:spPr>
        <a:xfrm>
          <a:off x="13330555" y="72339835"/>
          <a:ext cx="7258050" cy="2257425"/>
        </a:xfrm>
        <a:prstGeom prst="rect">
          <a:avLst/>
        </a:prstGeom>
        <a:noFill/>
        <a:ln w="9525">
          <a:noFill/>
        </a:ln>
      </xdr:spPr>
    </xdr:pic>
  </etc:cellImage>
  <etc:cellImage>
    <xdr:pic>
      <xdr:nvPicPr>
        <xdr:cNvPr id="565" name="ID_765E98CB33194EA99C516816318E2B7B"/>
        <xdr:cNvPicPr>
          <a:picLocks noChangeAspect="1"/>
        </xdr:cNvPicPr>
      </xdr:nvPicPr>
      <xdr:blipFill>
        <a:blip r:embed="rId169"/>
        <a:stretch>
          <a:fillRect/>
        </a:stretch>
      </xdr:blipFill>
      <xdr:spPr>
        <a:xfrm>
          <a:off x="13330555" y="72758935"/>
          <a:ext cx="7505700" cy="3114675"/>
        </a:xfrm>
        <a:prstGeom prst="rect">
          <a:avLst/>
        </a:prstGeom>
        <a:noFill/>
        <a:ln w="9525">
          <a:noFill/>
        </a:ln>
      </xdr:spPr>
    </xdr:pic>
  </etc:cellImage>
  <etc:cellImage>
    <xdr:pic>
      <xdr:nvPicPr>
        <xdr:cNvPr id="566" name="ID_AF81DA07528540CE8158052B15035278"/>
        <xdr:cNvPicPr>
          <a:picLocks noChangeAspect="1"/>
        </xdr:cNvPicPr>
      </xdr:nvPicPr>
      <xdr:blipFill>
        <a:blip r:embed="rId170"/>
        <a:stretch>
          <a:fillRect/>
        </a:stretch>
      </xdr:blipFill>
      <xdr:spPr>
        <a:xfrm>
          <a:off x="13330555" y="73178035"/>
          <a:ext cx="7429500" cy="2400300"/>
        </a:xfrm>
        <a:prstGeom prst="rect">
          <a:avLst/>
        </a:prstGeom>
        <a:noFill/>
        <a:ln w="9525">
          <a:noFill/>
        </a:ln>
      </xdr:spPr>
    </xdr:pic>
  </etc:cellImage>
  <etc:cellImage>
    <xdr:pic>
      <xdr:nvPicPr>
        <xdr:cNvPr id="567" name="ID_2C22CE1A28BF4E1F93BD6DEC85B4B771"/>
        <xdr:cNvPicPr>
          <a:picLocks noChangeAspect="1"/>
        </xdr:cNvPicPr>
      </xdr:nvPicPr>
      <xdr:blipFill>
        <a:blip r:embed="rId171"/>
        <a:stretch>
          <a:fillRect/>
        </a:stretch>
      </xdr:blipFill>
      <xdr:spPr>
        <a:xfrm>
          <a:off x="13330555" y="122631835"/>
          <a:ext cx="7924800" cy="3076575"/>
        </a:xfrm>
        <a:prstGeom prst="rect">
          <a:avLst/>
        </a:prstGeom>
        <a:noFill/>
        <a:ln w="9525">
          <a:noFill/>
        </a:ln>
      </xdr:spPr>
    </xdr:pic>
  </etc:cellImage>
  <etc:cellImage>
    <xdr:pic>
      <xdr:nvPicPr>
        <xdr:cNvPr id="568" name="ID_D3FD47B7E383461E8C6BE4CFAB109E8B"/>
        <xdr:cNvPicPr>
          <a:picLocks noChangeAspect="1"/>
        </xdr:cNvPicPr>
      </xdr:nvPicPr>
      <xdr:blipFill>
        <a:blip r:embed="rId172"/>
        <a:stretch>
          <a:fillRect/>
        </a:stretch>
      </xdr:blipFill>
      <xdr:spPr>
        <a:xfrm>
          <a:off x="13330555" y="101467285"/>
          <a:ext cx="7553325" cy="2266950"/>
        </a:xfrm>
        <a:prstGeom prst="rect">
          <a:avLst/>
        </a:prstGeom>
        <a:noFill/>
        <a:ln w="9525">
          <a:noFill/>
        </a:ln>
      </xdr:spPr>
    </xdr:pic>
  </etc:cellImage>
  <etc:cellImage>
    <xdr:pic>
      <xdr:nvPicPr>
        <xdr:cNvPr id="569" name="ID_363FC7CAEE9A47D2BC41AAD534628F81"/>
        <xdr:cNvPicPr>
          <a:picLocks noChangeAspect="1"/>
        </xdr:cNvPicPr>
      </xdr:nvPicPr>
      <xdr:blipFill>
        <a:blip r:embed="rId173"/>
        <a:stretch>
          <a:fillRect/>
        </a:stretch>
      </xdr:blipFill>
      <xdr:spPr>
        <a:xfrm>
          <a:off x="13330555" y="73806685"/>
          <a:ext cx="7267575" cy="3810000"/>
        </a:xfrm>
        <a:prstGeom prst="rect">
          <a:avLst/>
        </a:prstGeom>
        <a:noFill/>
        <a:ln w="9525">
          <a:noFill/>
        </a:ln>
      </xdr:spPr>
    </xdr:pic>
  </etc:cellImage>
  <etc:cellImage>
    <xdr:pic>
      <xdr:nvPicPr>
        <xdr:cNvPr id="570" name="ID_DE2D94FBA3444747BC77563139CD05A9"/>
        <xdr:cNvPicPr>
          <a:picLocks noChangeAspect="1"/>
        </xdr:cNvPicPr>
      </xdr:nvPicPr>
      <xdr:blipFill>
        <a:blip r:embed="rId174"/>
        <a:stretch>
          <a:fillRect/>
        </a:stretch>
      </xdr:blipFill>
      <xdr:spPr>
        <a:xfrm>
          <a:off x="13330555" y="101886385"/>
          <a:ext cx="7600950" cy="1076325"/>
        </a:xfrm>
        <a:prstGeom prst="rect">
          <a:avLst/>
        </a:prstGeom>
        <a:noFill/>
        <a:ln w="9525">
          <a:noFill/>
        </a:ln>
      </xdr:spPr>
    </xdr:pic>
  </etc:cellImage>
  <etc:cellImage>
    <xdr:pic>
      <xdr:nvPicPr>
        <xdr:cNvPr id="571" name="ID_89F403C3EF394649947D96DFDAC14F6F"/>
        <xdr:cNvPicPr>
          <a:picLocks noChangeAspect="1"/>
        </xdr:cNvPicPr>
      </xdr:nvPicPr>
      <xdr:blipFill>
        <a:blip r:embed="rId175"/>
        <a:stretch>
          <a:fillRect/>
        </a:stretch>
      </xdr:blipFill>
      <xdr:spPr>
        <a:xfrm>
          <a:off x="13330555" y="84074635"/>
          <a:ext cx="6924675" cy="3048000"/>
        </a:xfrm>
        <a:prstGeom prst="rect">
          <a:avLst/>
        </a:prstGeom>
        <a:noFill/>
        <a:ln w="9525">
          <a:noFill/>
        </a:ln>
      </xdr:spPr>
    </xdr:pic>
  </etc:cellImage>
  <etc:cellImage>
    <xdr:pic>
      <xdr:nvPicPr>
        <xdr:cNvPr id="572" name="ID_36D55550B0F24BE199FCB9C1D123C9E1"/>
        <xdr:cNvPicPr>
          <a:picLocks noChangeAspect="1"/>
        </xdr:cNvPicPr>
      </xdr:nvPicPr>
      <xdr:blipFill>
        <a:blip r:embed="rId176"/>
        <a:stretch>
          <a:fillRect/>
        </a:stretch>
      </xdr:blipFill>
      <xdr:spPr>
        <a:xfrm>
          <a:off x="13330555" y="74225785"/>
          <a:ext cx="6467475" cy="3124200"/>
        </a:xfrm>
        <a:prstGeom prst="rect">
          <a:avLst/>
        </a:prstGeom>
        <a:noFill/>
        <a:ln w="9525">
          <a:noFill/>
        </a:ln>
      </xdr:spPr>
    </xdr:pic>
  </etc:cellImage>
  <etc:cellImage>
    <xdr:pic>
      <xdr:nvPicPr>
        <xdr:cNvPr id="573" name="ID_A612601D1AF645DC8F63A7F0AFEBDBF0"/>
        <xdr:cNvPicPr>
          <a:picLocks noChangeAspect="1"/>
        </xdr:cNvPicPr>
      </xdr:nvPicPr>
      <xdr:blipFill>
        <a:blip r:embed="rId177"/>
        <a:stretch>
          <a:fillRect/>
        </a:stretch>
      </xdr:blipFill>
      <xdr:spPr>
        <a:xfrm>
          <a:off x="13330555" y="74644885"/>
          <a:ext cx="6934200" cy="3057525"/>
        </a:xfrm>
        <a:prstGeom prst="rect">
          <a:avLst/>
        </a:prstGeom>
        <a:noFill/>
        <a:ln w="9525">
          <a:noFill/>
        </a:ln>
      </xdr:spPr>
    </xdr:pic>
  </etc:cellImage>
  <etc:cellImage>
    <xdr:pic>
      <xdr:nvPicPr>
        <xdr:cNvPr id="574" name="ID_0E55897FFD054C7AA759BECB9BAFFF61"/>
        <xdr:cNvPicPr>
          <a:picLocks noChangeAspect="1"/>
        </xdr:cNvPicPr>
      </xdr:nvPicPr>
      <xdr:blipFill>
        <a:blip r:embed="rId178"/>
        <a:stretch>
          <a:fillRect/>
        </a:stretch>
      </xdr:blipFill>
      <xdr:spPr>
        <a:xfrm>
          <a:off x="13330555" y="84912835"/>
          <a:ext cx="7010400" cy="3105150"/>
        </a:xfrm>
        <a:prstGeom prst="rect">
          <a:avLst/>
        </a:prstGeom>
        <a:noFill/>
        <a:ln w="9525">
          <a:noFill/>
        </a:ln>
      </xdr:spPr>
    </xdr:pic>
  </etc:cellImage>
  <etc:cellImage>
    <xdr:pic>
      <xdr:nvPicPr>
        <xdr:cNvPr id="575" name="ID_778B579DBFD34184A6EBF0BDD8D1F93A"/>
        <xdr:cNvPicPr>
          <a:picLocks noChangeAspect="1"/>
        </xdr:cNvPicPr>
      </xdr:nvPicPr>
      <xdr:blipFill>
        <a:blip r:embed="rId179"/>
        <a:stretch>
          <a:fillRect/>
        </a:stretch>
      </xdr:blipFill>
      <xdr:spPr>
        <a:xfrm>
          <a:off x="13330555" y="75063985"/>
          <a:ext cx="7305675" cy="2219325"/>
        </a:xfrm>
        <a:prstGeom prst="rect">
          <a:avLst/>
        </a:prstGeom>
        <a:noFill/>
        <a:ln w="9525">
          <a:noFill/>
        </a:ln>
      </xdr:spPr>
    </xdr:pic>
  </etc:cellImage>
  <etc:cellImage>
    <xdr:pic>
      <xdr:nvPicPr>
        <xdr:cNvPr id="576" name="ID_20835FD7B70F4FECBC5782C2FE789B63"/>
        <xdr:cNvPicPr>
          <a:picLocks noChangeAspect="1"/>
        </xdr:cNvPicPr>
      </xdr:nvPicPr>
      <xdr:blipFill>
        <a:blip r:embed="rId180"/>
        <a:stretch>
          <a:fillRect/>
        </a:stretch>
      </xdr:blipFill>
      <xdr:spPr>
        <a:xfrm>
          <a:off x="13330555" y="103143685"/>
          <a:ext cx="8010525" cy="3019425"/>
        </a:xfrm>
        <a:prstGeom prst="rect">
          <a:avLst/>
        </a:prstGeom>
        <a:noFill/>
        <a:ln w="9525">
          <a:noFill/>
        </a:ln>
      </xdr:spPr>
    </xdr:pic>
  </etc:cellImage>
  <etc:cellImage>
    <xdr:pic>
      <xdr:nvPicPr>
        <xdr:cNvPr id="577" name="ID_115E76535B9D4D1381F9F5C57C43E184"/>
        <xdr:cNvPicPr>
          <a:picLocks noChangeAspect="1"/>
        </xdr:cNvPicPr>
      </xdr:nvPicPr>
      <xdr:blipFill>
        <a:blip r:embed="rId181"/>
        <a:stretch>
          <a:fillRect/>
        </a:stretch>
      </xdr:blipFill>
      <xdr:spPr>
        <a:xfrm>
          <a:off x="13330555" y="75483085"/>
          <a:ext cx="6972300" cy="3048000"/>
        </a:xfrm>
        <a:prstGeom prst="rect">
          <a:avLst/>
        </a:prstGeom>
        <a:noFill/>
        <a:ln w="9525">
          <a:noFill/>
        </a:ln>
      </xdr:spPr>
    </xdr:pic>
  </etc:cellImage>
  <etc:cellImage>
    <xdr:pic>
      <xdr:nvPicPr>
        <xdr:cNvPr id="578" name="ID_DA190606C1E14FB099861FA8581CC7D0"/>
        <xdr:cNvPicPr>
          <a:picLocks noChangeAspect="1"/>
        </xdr:cNvPicPr>
      </xdr:nvPicPr>
      <xdr:blipFill>
        <a:blip r:embed="rId182"/>
        <a:stretch>
          <a:fillRect/>
        </a:stretch>
      </xdr:blipFill>
      <xdr:spPr>
        <a:xfrm>
          <a:off x="13330555" y="85751035"/>
          <a:ext cx="7448550" cy="3067050"/>
        </a:xfrm>
        <a:prstGeom prst="rect">
          <a:avLst/>
        </a:prstGeom>
        <a:noFill/>
        <a:ln w="9525">
          <a:noFill/>
        </a:ln>
      </xdr:spPr>
    </xdr:pic>
  </etc:cellImage>
  <etc:cellImage>
    <xdr:pic>
      <xdr:nvPicPr>
        <xdr:cNvPr id="579" name="ID_5C231636A34A4C45AE1AB002C171DE85"/>
        <xdr:cNvPicPr>
          <a:picLocks noChangeAspect="1"/>
        </xdr:cNvPicPr>
      </xdr:nvPicPr>
      <xdr:blipFill>
        <a:blip r:embed="rId183"/>
        <a:stretch>
          <a:fillRect/>
        </a:stretch>
      </xdr:blipFill>
      <xdr:spPr>
        <a:xfrm>
          <a:off x="13654405" y="75987910"/>
          <a:ext cx="7038975" cy="1438275"/>
        </a:xfrm>
        <a:prstGeom prst="rect">
          <a:avLst/>
        </a:prstGeom>
        <a:noFill/>
        <a:ln w="9525">
          <a:noFill/>
        </a:ln>
      </xdr:spPr>
    </xdr:pic>
  </etc:cellImage>
  <etc:cellImage>
    <xdr:pic>
      <xdr:nvPicPr>
        <xdr:cNvPr id="580" name="ID_E68AF367D4064BFCB914414727E05149"/>
        <xdr:cNvPicPr>
          <a:picLocks noChangeAspect="1"/>
        </xdr:cNvPicPr>
      </xdr:nvPicPr>
      <xdr:blipFill>
        <a:blip r:embed="rId184"/>
        <a:stretch>
          <a:fillRect/>
        </a:stretch>
      </xdr:blipFill>
      <xdr:spPr>
        <a:xfrm>
          <a:off x="13330555" y="86798785"/>
          <a:ext cx="6943725" cy="3057525"/>
        </a:xfrm>
        <a:prstGeom prst="rect">
          <a:avLst/>
        </a:prstGeom>
        <a:noFill/>
        <a:ln w="9525">
          <a:noFill/>
        </a:ln>
      </xdr:spPr>
    </xdr:pic>
  </etc:cellImage>
  <etc:cellImage>
    <xdr:pic>
      <xdr:nvPicPr>
        <xdr:cNvPr id="581" name="ID_9E5D3583E4004A6583CAFD015691289D"/>
        <xdr:cNvPicPr>
          <a:picLocks noChangeAspect="1"/>
        </xdr:cNvPicPr>
      </xdr:nvPicPr>
      <xdr:blipFill>
        <a:blip r:embed="rId185"/>
        <a:stretch>
          <a:fillRect/>
        </a:stretch>
      </xdr:blipFill>
      <xdr:spPr>
        <a:xfrm>
          <a:off x="13330555" y="76740385"/>
          <a:ext cx="7019925" cy="1581150"/>
        </a:xfrm>
        <a:prstGeom prst="rect">
          <a:avLst/>
        </a:prstGeom>
        <a:noFill/>
        <a:ln w="9525">
          <a:noFill/>
        </a:ln>
      </xdr:spPr>
    </xdr:pic>
  </etc:cellImage>
  <etc:cellImage>
    <xdr:pic>
      <xdr:nvPicPr>
        <xdr:cNvPr id="582" name="ID_D06E8C51C48F43C0926E44E4E2AD7399"/>
        <xdr:cNvPicPr>
          <a:picLocks noChangeAspect="1"/>
        </xdr:cNvPicPr>
      </xdr:nvPicPr>
      <xdr:blipFill>
        <a:blip r:embed="rId186"/>
        <a:stretch>
          <a:fillRect/>
        </a:stretch>
      </xdr:blipFill>
      <xdr:spPr>
        <a:xfrm>
          <a:off x="13330555" y="77159485"/>
          <a:ext cx="6981825" cy="3076575"/>
        </a:xfrm>
        <a:prstGeom prst="rect">
          <a:avLst/>
        </a:prstGeom>
        <a:noFill/>
        <a:ln w="9525">
          <a:noFill/>
        </a:ln>
      </xdr:spPr>
    </xdr:pic>
  </etc:cellImage>
  <etc:cellImage>
    <xdr:pic>
      <xdr:nvPicPr>
        <xdr:cNvPr id="583" name="ID_38AEAB1A324641BCA4F22D1136564213"/>
        <xdr:cNvPicPr>
          <a:picLocks noChangeAspect="1"/>
        </xdr:cNvPicPr>
      </xdr:nvPicPr>
      <xdr:blipFill>
        <a:blip r:embed="rId187"/>
        <a:stretch>
          <a:fillRect/>
        </a:stretch>
      </xdr:blipFill>
      <xdr:spPr>
        <a:xfrm>
          <a:off x="13330555" y="77578585"/>
          <a:ext cx="7019925" cy="1543050"/>
        </a:xfrm>
        <a:prstGeom prst="rect">
          <a:avLst/>
        </a:prstGeom>
        <a:noFill/>
        <a:ln w="9525">
          <a:noFill/>
        </a:ln>
      </xdr:spPr>
    </xdr:pic>
  </etc:cellImage>
  <etc:cellImage>
    <xdr:pic>
      <xdr:nvPicPr>
        <xdr:cNvPr id="584" name="ID_43B317551CFC4CCDAC073AE20A1B5DCC"/>
        <xdr:cNvPicPr>
          <a:picLocks noChangeAspect="1"/>
        </xdr:cNvPicPr>
      </xdr:nvPicPr>
      <xdr:blipFill>
        <a:blip r:embed="rId188"/>
        <a:stretch>
          <a:fillRect/>
        </a:stretch>
      </xdr:blipFill>
      <xdr:spPr>
        <a:xfrm>
          <a:off x="13330555" y="77997685"/>
          <a:ext cx="12458700" cy="3381375"/>
        </a:xfrm>
        <a:prstGeom prst="rect">
          <a:avLst/>
        </a:prstGeom>
        <a:noFill/>
        <a:ln w="9525">
          <a:noFill/>
        </a:ln>
      </xdr:spPr>
    </xdr:pic>
  </etc:cellImage>
  <etc:cellImage>
    <xdr:pic>
      <xdr:nvPicPr>
        <xdr:cNvPr id="585" name="ID_82B4BCFF55C84DEC883B672A0977766C"/>
        <xdr:cNvPicPr>
          <a:picLocks noChangeAspect="1"/>
        </xdr:cNvPicPr>
      </xdr:nvPicPr>
      <xdr:blipFill>
        <a:blip r:embed="rId189"/>
        <a:stretch>
          <a:fillRect/>
        </a:stretch>
      </xdr:blipFill>
      <xdr:spPr>
        <a:xfrm>
          <a:off x="13330555" y="88475185"/>
          <a:ext cx="6972300" cy="3095625"/>
        </a:xfrm>
        <a:prstGeom prst="rect">
          <a:avLst/>
        </a:prstGeom>
        <a:noFill/>
        <a:ln w="9525">
          <a:noFill/>
        </a:ln>
      </xdr:spPr>
    </xdr:pic>
  </etc:cellImage>
  <etc:cellImage>
    <xdr:pic>
      <xdr:nvPicPr>
        <xdr:cNvPr id="586" name="ID_37BF6976862C4361BE126C2172921A87"/>
        <xdr:cNvPicPr>
          <a:picLocks noChangeAspect="1"/>
        </xdr:cNvPicPr>
      </xdr:nvPicPr>
      <xdr:blipFill>
        <a:blip r:embed="rId190"/>
        <a:stretch>
          <a:fillRect/>
        </a:stretch>
      </xdr:blipFill>
      <xdr:spPr>
        <a:xfrm>
          <a:off x="13330555" y="78416785"/>
          <a:ext cx="7010400" cy="2038350"/>
        </a:xfrm>
        <a:prstGeom prst="rect">
          <a:avLst/>
        </a:prstGeom>
        <a:noFill/>
        <a:ln w="9525">
          <a:noFill/>
        </a:ln>
      </xdr:spPr>
    </xdr:pic>
  </etc:cellImage>
  <etc:cellImage>
    <xdr:pic>
      <xdr:nvPicPr>
        <xdr:cNvPr id="587" name="ID_CDD5759CE451467D8E80C1F105D0D00D"/>
        <xdr:cNvPicPr>
          <a:picLocks noChangeAspect="1"/>
        </xdr:cNvPicPr>
      </xdr:nvPicPr>
      <xdr:blipFill>
        <a:blip r:embed="rId191"/>
        <a:stretch>
          <a:fillRect/>
        </a:stretch>
      </xdr:blipFill>
      <xdr:spPr>
        <a:xfrm>
          <a:off x="13330555" y="78835885"/>
          <a:ext cx="7467600" cy="3105150"/>
        </a:xfrm>
        <a:prstGeom prst="rect">
          <a:avLst/>
        </a:prstGeom>
        <a:noFill/>
        <a:ln w="9525">
          <a:noFill/>
        </a:ln>
      </xdr:spPr>
    </xdr:pic>
  </etc:cellImage>
  <etc:cellImage>
    <xdr:pic>
      <xdr:nvPicPr>
        <xdr:cNvPr id="588" name="ID_B28CE349E37D47819DBF6155EED4324A"/>
        <xdr:cNvPicPr>
          <a:picLocks noChangeAspect="1"/>
        </xdr:cNvPicPr>
      </xdr:nvPicPr>
      <xdr:blipFill>
        <a:blip r:embed="rId192"/>
        <a:stretch>
          <a:fillRect/>
        </a:stretch>
      </xdr:blipFill>
      <xdr:spPr>
        <a:xfrm>
          <a:off x="13330555" y="118440835"/>
          <a:ext cx="13030200" cy="4276725"/>
        </a:xfrm>
        <a:prstGeom prst="rect">
          <a:avLst/>
        </a:prstGeom>
        <a:noFill/>
        <a:ln w="9525">
          <a:noFill/>
        </a:ln>
      </xdr:spPr>
    </xdr:pic>
  </etc:cellImage>
  <etc:cellImage>
    <xdr:pic>
      <xdr:nvPicPr>
        <xdr:cNvPr id="589" name="ID_3B15D0F35BC54A47B5C94DAF2D4CC512"/>
        <xdr:cNvPicPr>
          <a:picLocks noChangeAspect="1"/>
        </xdr:cNvPicPr>
      </xdr:nvPicPr>
      <xdr:blipFill>
        <a:blip r:embed="rId193"/>
        <a:stretch>
          <a:fillRect/>
        </a:stretch>
      </xdr:blipFill>
      <xdr:spPr>
        <a:xfrm>
          <a:off x="13330555" y="106915585"/>
          <a:ext cx="7458075" cy="3057525"/>
        </a:xfrm>
        <a:prstGeom prst="rect">
          <a:avLst/>
        </a:prstGeom>
        <a:noFill/>
        <a:ln w="9525">
          <a:noFill/>
        </a:ln>
      </xdr:spPr>
    </xdr:pic>
  </etc:cellImage>
  <etc:cellImage>
    <xdr:pic>
      <xdr:nvPicPr>
        <xdr:cNvPr id="590" name="ID_B82DDCC6F9954AFCAC19FC11354B07FD"/>
        <xdr:cNvPicPr>
          <a:picLocks noChangeAspect="1"/>
        </xdr:cNvPicPr>
      </xdr:nvPicPr>
      <xdr:blipFill>
        <a:blip r:embed="rId194"/>
        <a:stretch>
          <a:fillRect/>
        </a:stretch>
      </xdr:blipFill>
      <xdr:spPr>
        <a:xfrm>
          <a:off x="13330555" y="89313385"/>
          <a:ext cx="8572500" cy="4810125"/>
        </a:xfrm>
        <a:prstGeom prst="rect">
          <a:avLst/>
        </a:prstGeom>
        <a:noFill/>
        <a:ln w="9525">
          <a:noFill/>
        </a:ln>
      </xdr:spPr>
    </xdr:pic>
  </etc:cellImage>
  <etc:cellImage>
    <xdr:pic>
      <xdr:nvPicPr>
        <xdr:cNvPr id="591" name="ID_5A64B907D5B842459E20D6C1BD9F59E9"/>
        <xdr:cNvPicPr>
          <a:picLocks noChangeAspect="1"/>
        </xdr:cNvPicPr>
      </xdr:nvPicPr>
      <xdr:blipFill>
        <a:blip r:embed="rId195"/>
        <a:stretch>
          <a:fillRect/>
        </a:stretch>
      </xdr:blipFill>
      <xdr:spPr>
        <a:xfrm>
          <a:off x="13330555" y="79254985"/>
          <a:ext cx="7477125" cy="1571625"/>
        </a:xfrm>
        <a:prstGeom prst="rect">
          <a:avLst/>
        </a:prstGeom>
        <a:noFill/>
        <a:ln w="9525">
          <a:noFill/>
        </a:ln>
      </xdr:spPr>
    </xdr:pic>
  </etc:cellImage>
  <etc:cellImage>
    <xdr:pic>
      <xdr:nvPicPr>
        <xdr:cNvPr id="592" name="ID_35A07D3D2D3E4896A86B9AD4F90912BE"/>
        <xdr:cNvPicPr>
          <a:picLocks noChangeAspect="1"/>
        </xdr:cNvPicPr>
      </xdr:nvPicPr>
      <xdr:blipFill>
        <a:blip r:embed="rId196"/>
        <a:stretch>
          <a:fillRect/>
        </a:stretch>
      </xdr:blipFill>
      <xdr:spPr>
        <a:xfrm>
          <a:off x="13330555" y="79674085"/>
          <a:ext cx="6581775" cy="1590675"/>
        </a:xfrm>
        <a:prstGeom prst="rect">
          <a:avLst/>
        </a:prstGeom>
        <a:noFill/>
        <a:ln w="9525">
          <a:noFill/>
        </a:ln>
      </xdr:spPr>
    </xdr:pic>
  </etc:cellImage>
  <etc:cellImage>
    <xdr:pic>
      <xdr:nvPicPr>
        <xdr:cNvPr id="593" name="ID_1B42439616D44531A6E3065242DAFD58"/>
        <xdr:cNvPicPr>
          <a:picLocks noChangeAspect="1"/>
        </xdr:cNvPicPr>
      </xdr:nvPicPr>
      <xdr:blipFill>
        <a:blip r:embed="rId197"/>
        <a:stretch>
          <a:fillRect/>
        </a:stretch>
      </xdr:blipFill>
      <xdr:spPr>
        <a:xfrm>
          <a:off x="13330555" y="80093185"/>
          <a:ext cx="7000875" cy="3133725"/>
        </a:xfrm>
        <a:prstGeom prst="rect">
          <a:avLst/>
        </a:prstGeom>
        <a:noFill/>
        <a:ln w="9525">
          <a:noFill/>
        </a:ln>
      </xdr:spPr>
    </xdr:pic>
  </etc:cellImage>
  <etc:cellImage>
    <xdr:pic>
      <xdr:nvPicPr>
        <xdr:cNvPr id="594" name="ID_4A31CBDD606D4AEEA496989C4FEC6E8F"/>
        <xdr:cNvPicPr>
          <a:picLocks noChangeAspect="1"/>
        </xdr:cNvPicPr>
      </xdr:nvPicPr>
      <xdr:blipFill>
        <a:blip r:embed="rId198"/>
        <a:stretch>
          <a:fillRect/>
        </a:stretch>
      </xdr:blipFill>
      <xdr:spPr>
        <a:xfrm>
          <a:off x="13330555" y="131432935"/>
          <a:ext cx="9429750" cy="4133850"/>
        </a:xfrm>
        <a:prstGeom prst="rect">
          <a:avLst/>
        </a:prstGeom>
        <a:noFill/>
        <a:ln w="9525">
          <a:noFill/>
        </a:ln>
      </xdr:spPr>
    </xdr:pic>
  </etc:cellImage>
  <etc:cellImage>
    <xdr:pic>
      <xdr:nvPicPr>
        <xdr:cNvPr id="595" name="ID_FA0CA3E40E8E43B99B2E050049240FBC"/>
        <xdr:cNvPicPr>
          <a:picLocks noChangeAspect="1"/>
        </xdr:cNvPicPr>
      </xdr:nvPicPr>
      <xdr:blipFill>
        <a:blip r:embed="rId199"/>
        <a:stretch>
          <a:fillRect/>
        </a:stretch>
      </xdr:blipFill>
      <xdr:spPr>
        <a:xfrm>
          <a:off x="13330555" y="108172885"/>
          <a:ext cx="7467600" cy="3067050"/>
        </a:xfrm>
        <a:prstGeom prst="rect">
          <a:avLst/>
        </a:prstGeom>
        <a:noFill/>
        <a:ln w="9525">
          <a:noFill/>
        </a:ln>
      </xdr:spPr>
    </xdr:pic>
  </etc:cellImage>
  <etc:cellImage>
    <xdr:pic>
      <xdr:nvPicPr>
        <xdr:cNvPr id="596" name="ID_FF89C67D0CBC405293C39CC40DD016DF"/>
        <xdr:cNvPicPr>
          <a:picLocks noChangeAspect="1"/>
        </xdr:cNvPicPr>
      </xdr:nvPicPr>
      <xdr:blipFill>
        <a:blip r:embed="rId200"/>
        <a:stretch>
          <a:fillRect/>
        </a:stretch>
      </xdr:blipFill>
      <xdr:spPr>
        <a:xfrm>
          <a:off x="13330555" y="80512285"/>
          <a:ext cx="7086600" cy="1590675"/>
        </a:xfrm>
        <a:prstGeom prst="rect">
          <a:avLst/>
        </a:prstGeom>
        <a:noFill/>
        <a:ln w="9525">
          <a:noFill/>
        </a:ln>
      </xdr:spPr>
    </xdr:pic>
  </etc:cellImage>
  <etc:cellImage>
    <xdr:pic>
      <xdr:nvPicPr>
        <xdr:cNvPr id="597" name="ID_B39527456E4140188807EF18E426CD76"/>
        <xdr:cNvPicPr>
          <a:picLocks noChangeAspect="1"/>
        </xdr:cNvPicPr>
      </xdr:nvPicPr>
      <xdr:blipFill>
        <a:blip r:embed="rId201"/>
        <a:stretch>
          <a:fillRect/>
        </a:stretch>
      </xdr:blipFill>
      <xdr:spPr>
        <a:xfrm>
          <a:off x="13330555" y="81979135"/>
          <a:ext cx="12077700" cy="2686050"/>
        </a:xfrm>
        <a:prstGeom prst="rect">
          <a:avLst/>
        </a:prstGeom>
        <a:noFill/>
        <a:ln w="9525">
          <a:noFill/>
        </a:ln>
      </xdr:spPr>
    </xdr:pic>
  </etc:cellImage>
  <etc:cellImage>
    <xdr:pic>
      <xdr:nvPicPr>
        <xdr:cNvPr id="598" name="ID_19876D1FD6B7402EB79015EC5A44F800"/>
        <xdr:cNvPicPr>
          <a:picLocks noChangeAspect="1"/>
        </xdr:cNvPicPr>
      </xdr:nvPicPr>
      <xdr:blipFill>
        <a:blip r:embed="rId202"/>
        <a:stretch>
          <a:fillRect/>
        </a:stretch>
      </xdr:blipFill>
      <xdr:spPr>
        <a:xfrm>
          <a:off x="13330555" y="82817335"/>
          <a:ext cx="7019925" cy="3114675"/>
        </a:xfrm>
        <a:prstGeom prst="rect">
          <a:avLst/>
        </a:prstGeom>
        <a:noFill/>
        <a:ln w="9525">
          <a:noFill/>
        </a:ln>
      </xdr:spPr>
    </xdr:pic>
  </etc:cellImage>
  <etc:cellImage>
    <xdr:pic>
      <xdr:nvPicPr>
        <xdr:cNvPr id="599" name="ID_F2F80BBEFE9A411A83EDFEB1BA4D332A"/>
        <xdr:cNvPicPr>
          <a:picLocks noChangeAspect="1"/>
        </xdr:cNvPicPr>
      </xdr:nvPicPr>
      <xdr:blipFill>
        <a:blip r:embed="rId203"/>
        <a:stretch>
          <a:fillRect/>
        </a:stretch>
      </xdr:blipFill>
      <xdr:spPr>
        <a:xfrm>
          <a:off x="13330555" y="122212735"/>
          <a:ext cx="7905750" cy="2657475"/>
        </a:xfrm>
        <a:prstGeom prst="rect">
          <a:avLst/>
        </a:prstGeom>
        <a:noFill/>
        <a:ln w="9525">
          <a:noFill/>
        </a:ln>
      </xdr:spPr>
    </xdr:pic>
  </etc:cellImage>
  <etc:cellImage>
    <xdr:pic>
      <xdr:nvPicPr>
        <xdr:cNvPr id="600" name="ID_DADEAB60C7124329949D6CC1F2459880"/>
        <xdr:cNvPicPr>
          <a:picLocks noChangeAspect="1"/>
        </xdr:cNvPicPr>
      </xdr:nvPicPr>
      <xdr:blipFill>
        <a:blip r:embed="rId204"/>
        <a:stretch>
          <a:fillRect/>
        </a:stretch>
      </xdr:blipFill>
      <xdr:spPr>
        <a:xfrm>
          <a:off x="13330555" y="83236435"/>
          <a:ext cx="6981825" cy="3086100"/>
        </a:xfrm>
        <a:prstGeom prst="rect">
          <a:avLst/>
        </a:prstGeom>
        <a:noFill/>
        <a:ln w="9525">
          <a:noFill/>
        </a:ln>
      </xdr:spPr>
    </xdr:pic>
  </etc:cellImage>
  <etc:cellImage>
    <xdr:pic>
      <xdr:nvPicPr>
        <xdr:cNvPr id="601" name="ID_9A883DB28FF14790A0E2AD70A3ABA14D"/>
        <xdr:cNvPicPr>
          <a:picLocks noChangeAspect="1"/>
        </xdr:cNvPicPr>
      </xdr:nvPicPr>
      <xdr:blipFill>
        <a:blip r:embed="rId205"/>
        <a:stretch>
          <a:fillRect/>
        </a:stretch>
      </xdr:blipFill>
      <xdr:spPr>
        <a:xfrm>
          <a:off x="13330555" y="83655535"/>
          <a:ext cx="6962775" cy="3095625"/>
        </a:xfrm>
        <a:prstGeom prst="rect">
          <a:avLst/>
        </a:prstGeom>
        <a:noFill/>
        <a:ln w="9525">
          <a:noFill/>
        </a:ln>
      </xdr:spPr>
    </xdr:pic>
  </etc:cellImage>
  <etc:cellImage>
    <xdr:pic>
      <xdr:nvPicPr>
        <xdr:cNvPr id="602" name="ID_33F5B8AF82934D73839325518EC87BDA"/>
        <xdr:cNvPicPr>
          <a:picLocks noChangeAspect="1"/>
        </xdr:cNvPicPr>
      </xdr:nvPicPr>
      <xdr:blipFill>
        <a:blip r:embed="rId206"/>
        <a:stretch>
          <a:fillRect/>
        </a:stretch>
      </xdr:blipFill>
      <xdr:spPr>
        <a:xfrm>
          <a:off x="13330555" y="84493735"/>
          <a:ext cx="6972300" cy="3000375"/>
        </a:xfrm>
        <a:prstGeom prst="rect">
          <a:avLst/>
        </a:prstGeom>
        <a:noFill/>
        <a:ln w="9525">
          <a:noFill/>
        </a:ln>
      </xdr:spPr>
    </xdr:pic>
  </etc:cellImage>
  <etc:cellImage>
    <xdr:pic>
      <xdr:nvPicPr>
        <xdr:cNvPr id="603" name="ID_3997FF3949D74912B5A5381A9E45F1B7"/>
        <xdr:cNvPicPr>
          <a:picLocks noChangeAspect="1"/>
        </xdr:cNvPicPr>
      </xdr:nvPicPr>
      <xdr:blipFill>
        <a:blip r:embed="rId207"/>
        <a:stretch>
          <a:fillRect/>
        </a:stretch>
      </xdr:blipFill>
      <xdr:spPr>
        <a:xfrm>
          <a:off x="13330555" y="85331935"/>
          <a:ext cx="7467600" cy="3028950"/>
        </a:xfrm>
        <a:prstGeom prst="rect">
          <a:avLst/>
        </a:prstGeom>
        <a:noFill/>
        <a:ln w="9525">
          <a:noFill/>
        </a:ln>
      </xdr:spPr>
    </xdr:pic>
  </etc:cellImage>
  <etc:cellImage>
    <xdr:pic>
      <xdr:nvPicPr>
        <xdr:cNvPr id="604" name="ID_9492241DAB184703AD8E0338A070B140"/>
        <xdr:cNvPicPr>
          <a:picLocks noChangeAspect="1"/>
        </xdr:cNvPicPr>
      </xdr:nvPicPr>
      <xdr:blipFill>
        <a:blip r:embed="rId208"/>
        <a:stretch>
          <a:fillRect/>
        </a:stretch>
      </xdr:blipFill>
      <xdr:spPr>
        <a:xfrm>
          <a:off x="13330555" y="113621185"/>
          <a:ext cx="12544425" cy="3886200"/>
        </a:xfrm>
        <a:prstGeom prst="rect">
          <a:avLst/>
        </a:prstGeom>
        <a:noFill/>
        <a:ln w="9525">
          <a:noFill/>
        </a:ln>
      </xdr:spPr>
    </xdr:pic>
  </etc:cellImage>
  <etc:cellImage>
    <xdr:pic>
      <xdr:nvPicPr>
        <xdr:cNvPr id="605" name="ID_B6894A42D99143B39EFCF734F7165674"/>
        <xdr:cNvPicPr>
          <a:picLocks noChangeAspect="1"/>
        </xdr:cNvPicPr>
      </xdr:nvPicPr>
      <xdr:blipFill>
        <a:blip r:embed="rId209"/>
        <a:stretch>
          <a:fillRect/>
        </a:stretch>
      </xdr:blipFill>
      <xdr:spPr>
        <a:xfrm>
          <a:off x="13330555" y="86379685"/>
          <a:ext cx="7000875" cy="3076575"/>
        </a:xfrm>
        <a:prstGeom prst="rect">
          <a:avLst/>
        </a:prstGeom>
        <a:noFill/>
        <a:ln w="9525">
          <a:noFill/>
        </a:ln>
      </xdr:spPr>
    </xdr:pic>
  </etc:cellImage>
  <etc:cellImage>
    <xdr:pic>
      <xdr:nvPicPr>
        <xdr:cNvPr id="606" name="ID_822AAD86014A4172A8C5DF8FDFC0A661"/>
        <xdr:cNvPicPr>
          <a:picLocks noChangeAspect="1"/>
        </xdr:cNvPicPr>
      </xdr:nvPicPr>
      <xdr:blipFill>
        <a:blip r:embed="rId210"/>
        <a:stretch>
          <a:fillRect/>
        </a:stretch>
      </xdr:blipFill>
      <xdr:spPr>
        <a:xfrm>
          <a:off x="13330555" y="87217885"/>
          <a:ext cx="7029450" cy="3076575"/>
        </a:xfrm>
        <a:prstGeom prst="rect">
          <a:avLst/>
        </a:prstGeom>
        <a:noFill/>
        <a:ln w="9525">
          <a:noFill/>
        </a:ln>
      </xdr:spPr>
    </xdr:pic>
  </etc:cellImage>
  <etc:cellImage>
    <xdr:pic>
      <xdr:nvPicPr>
        <xdr:cNvPr id="607" name="ID_E097DA6A2C9040B1859C440A9BA122D1"/>
        <xdr:cNvPicPr>
          <a:picLocks noChangeAspect="1"/>
        </xdr:cNvPicPr>
      </xdr:nvPicPr>
      <xdr:blipFill>
        <a:blip r:embed="rId211"/>
        <a:stretch>
          <a:fillRect/>
        </a:stretch>
      </xdr:blipFill>
      <xdr:spPr>
        <a:xfrm>
          <a:off x="13330555" y="126403735"/>
          <a:ext cx="9629775" cy="5133975"/>
        </a:xfrm>
        <a:prstGeom prst="rect">
          <a:avLst/>
        </a:prstGeom>
        <a:noFill/>
        <a:ln w="9525">
          <a:noFill/>
        </a:ln>
      </xdr:spPr>
    </xdr:pic>
  </etc:cellImage>
  <etc:cellImage>
    <xdr:pic>
      <xdr:nvPicPr>
        <xdr:cNvPr id="608" name="ID_2E199A8D377749B2BFD99E3D801CA50F"/>
        <xdr:cNvPicPr>
          <a:picLocks noChangeAspect="1"/>
        </xdr:cNvPicPr>
      </xdr:nvPicPr>
      <xdr:blipFill>
        <a:blip r:embed="rId212"/>
        <a:stretch>
          <a:fillRect/>
        </a:stretch>
      </xdr:blipFill>
      <xdr:spPr>
        <a:xfrm>
          <a:off x="13330555" y="116764435"/>
          <a:ext cx="11896725" cy="3171825"/>
        </a:xfrm>
        <a:prstGeom prst="rect">
          <a:avLst/>
        </a:prstGeom>
        <a:noFill/>
        <a:ln w="9525">
          <a:noFill/>
        </a:ln>
      </xdr:spPr>
    </xdr:pic>
  </etc:cellImage>
  <etc:cellImage>
    <xdr:pic>
      <xdr:nvPicPr>
        <xdr:cNvPr id="609" name="ID_0ECB4EA1124540BEAA96FA796AEEF6AA"/>
        <xdr:cNvPicPr>
          <a:picLocks noChangeAspect="1"/>
        </xdr:cNvPicPr>
      </xdr:nvPicPr>
      <xdr:blipFill>
        <a:blip r:embed="rId213"/>
        <a:stretch>
          <a:fillRect/>
        </a:stretch>
      </xdr:blipFill>
      <xdr:spPr>
        <a:xfrm>
          <a:off x="13330555" y="105239185"/>
          <a:ext cx="7934325" cy="3067050"/>
        </a:xfrm>
        <a:prstGeom prst="rect">
          <a:avLst/>
        </a:prstGeom>
        <a:noFill/>
        <a:ln w="9525">
          <a:noFill/>
        </a:ln>
      </xdr:spPr>
    </xdr:pic>
  </etc:cellImage>
  <etc:cellImage>
    <xdr:pic>
      <xdr:nvPicPr>
        <xdr:cNvPr id="610" name="ID_825DAAC5BC174752851C0ADAB88A90A2"/>
        <xdr:cNvPicPr>
          <a:picLocks noChangeAspect="1"/>
        </xdr:cNvPicPr>
      </xdr:nvPicPr>
      <xdr:blipFill>
        <a:blip r:embed="rId214"/>
        <a:stretch>
          <a:fillRect/>
        </a:stretch>
      </xdr:blipFill>
      <xdr:spPr>
        <a:xfrm>
          <a:off x="13330555" y="87636985"/>
          <a:ext cx="7000875" cy="3095625"/>
        </a:xfrm>
        <a:prstGeom prst="rect">
          <a:avLst/>
        </a:prstGeom>
        <a:noFill/>
        <a:ln w="9525">
          <a:noFill/>
        </a:ln>
      </xdr:spPr>
    </xdr:pic>
  </etc:cellImage>
  <etc:cellImage>
    <xdr:pic>
      <xdr:nvPicPr>
        <xdr:cNvPr id="611" name="ID_2DF34C851CA044CCA9AFB08E233B570A"/>
        <xdr:cNvPicPr>
          <a:picLocks noChangeAspect="1"/>
        </xdr:cNvPicPr>
      </xdr:nvPicPr>
      <xdr:blipFill>
        <a:blip r:embed="rId215"/>
        <a:stretch>
          <a:fillRect/>
        </a:stretch>
      </xdr:blipFill>
      <xdr:spPr>
        <a:xfrm>
          <a:off x="13330555" y="117183535"/>
          <a:ext cx="10963275" cy="3429000"/>
        </a:xfrm>
        <a:prstGeom prst="rect">
          <a:avLst/>
        </a:prstGeom>
        <a:noFill/>
        <a:ln w="9525">
          <a:noFill/>
        </a:ln>
      </xdr:spPr>
    </xdr:pic>
  </etc:cellImage>
  <etc:cellImage>
    <xdr:pic>
      <xdr:nvPicPr>
        <xdr:cNvPr id="612" name="ID_36D78F6E45BF49E9A082040D66BB5272"/>
        <xdr:cNvPicPr>
          <a:picLocks noChangeAspect="1"/>
        </xdr:cNvPicPr>
      </xdr:nvPicPr>
      <xdr:blipFill>
        <a:blip r:embed="rId216"/>
        <a:stretch>
          <a:fillRect/>
        </a:stretch>
      </xdr:blipFill>
      <xdr:spPr>
        <a:xfrm>
          <a:off x="13330555" y="88056085"/>
          <a:ext cx="7000875" cy="3019425"/>
        </a:xfrm>
        <a:prstGeom prst="rect">
          <a:avLst/>
        </a:prstGeom>
        <a:noFill/>
        <a:ln w="9525">
          <a:noFill/>
        </a:ln>
      </xdr:spPr>
    </xdr:pic>
  </etc:cellImage>
  <etc:cellImage>
    <xdr:pic>
      <xdr:nvPicPr>
        <xdr:cNvPr id="613" name="ID_D92B05CE03004344A628C905468B1EDA"/>
        <xdr:cNvPicPr>
          <a:picLocks noChangeAspect="1"/>
        </xdr:cNvPicPr>
      </xdr:nvPicPr>
      <xdr:blipFill>
        <a:blip r:embed="rId217"/>
        <a:stretch>
          <a:fillRect/>
        </a:stretch>
      </xdr:blipFill>
      <xdr:spPr>
        <a:xfrm>
          <a:off x="13330555" y="88894285"/>
          <a:ext cx="10791825" cy="5124450"/>
        </a:xfrm>
        <a:prstGeom prst="rect">
          <a:avLst/>
        </a:prstGeom>
        <a:noFill/>
        <a:ln w="9525">
          <a:noFill/>
        </a:ln>
      </xdr:spPr>
    </xdr:pic>
  </etc:cellImage>
  <etc:cellImage>
    <xdr:pic>
      <xdr:nvPicPr>
        <xdr:cNvPr id="614" name="ID_24618E05017148728D80D657CB13C9EF"/>
        <xdr:cNvPicPr>
          <a:picLocks noChangeAspect="1"/>
        </xdr:cNvPicPr>
      </xdr:nvPicPr>
      <xdr:blipFill>
        <a:blip r:embed="rId218"/>
        <a:stretch>
          <a:fillRect/>
        </a:stretch>
      </xdr:blipFill>
      <xdr:spPr>
        <a:xfrm>
          <a:off x="13330555" y="89732485"/>
          <a:ext cx="6972300" cy="3038475"/>
        </a:xfrm>
        <a:prstGeom prst="rect">
          <a:avLst/>
        </a:prstGeom>
        <a:noFill/>
        <a:ln w="9525">
          <a:noFill/>
        </a:ln>
      </xdr:spPr>
    </xdr:pic>
  </etc:cellImage>
  <etc:cellImage>
    <xdr:pic>
      <xdr:nvPicPr>
        <xdr:cNvPr id="615" name="ID_AD707ED4953344FD8C1FE3D2806D4ACE"/>
        <xdr:cNvPicPr>
          <a:picLocks noChangeAspect="1"/>
        </xdr:cNvPicPr>
      </xdr:nvPicPr>
      <xdr:blipFill>
        <a:blip r:embed="rId219"/>
        <a:stretch>
          <a:fillRect/>
        </a:stretch>
      </xdr:blipFill>
      <xdr:spPr>
        <a:xfrm>
          <a:off x="13330555" y="98324035"/>
          <a:ext cx="10506075" cy="2838450"/>
        </a:xfrm>
        <a:prstGeom prst="rect">
          <a:avLst/>
        </a:prstGeom>
        <a:noFill/>
        <a:ln w="9525">
          <a:noFill/>
        </a:ln>
      </xdr:spPr>
    </xdr:pic>
  </etc:cellImage>
  <etc:cellImage>
    <xdr:pic>
      <xdr:nvPicPr>
        <xdr:cNvPr id="616" name="ID_62454594E2F84F0FA6699D9D3BFD9F2D"/>
        <xdr:cNvPicPr>
          <a:picLocks noChangeAspect="1"/>
        </xdr:cNvPicPr>
      </xdr:nvPicPr>
      <xdr:blipFill>
        <a:blip r:embed="rId220"/>
        <a:stretch>
          <a:fillRect/>
        </a:stretch>
      </xdr:blipFill>
      <xdr:spPr>
        <a:xfrm>
          <a:off x="13330555" y="98743135"/>
          <a:ext cx="7458075" cy="3057525"/>
        </a:xfrm>
        <a:prstGeom prst="rect">
          <a:avLst/>
        </a:prstGeom>
        <a:noFill/>
        <a:ln w="9525">
          <a:noFill/>
        </a:ln>
      </xdr:spPr>
    </xdr:pic>
  </etc:cellImage>
  <etc:cellImage>
    <xdr:pic>
      <xdr:nvPicPr>
        <xdr:cNvPr id="617" name="ID_F36ECCD3902F4CF2A6A588F8D98A5B94"/>
        <xdr:cNvPicPr>
          <a:picLocks noChangeAspect="1"/>
        </xdr:cNvPicPr>
      </xdr:nvPicPr>
      <xdr:blipFill>
        <a:blip r:embed="rId221"/>
        <a:stretch>
          <a:fillRect/>
        </a:stretch>
      </xdr:blipFill>
      <xdr:spPr>
        <a:xfrm>
          <a:off x="13330555" y="99162235"/>
          <a:ext cx="7915275" cy="3457575"/>
        </a:xfrm>
        <a:prstGeom prst="rect">
          <a:avLst/>
        </a:prstGeom>
        <a:noFill/>
        <a:ln w="9525">
          <a:noFill/>
        </a:ln>
      </xdr:spPr>
    </xdr:pic>
  </etc:cellImage>
  <etc:cellImage>
    <xdr:pic>
      <xdr:nvPicPr>
        <xdr:cNvPr id="618" name="ID_6C26C81057F94F298D59C286153C472F"/>
        <xdr:cNvPicPr>
          <a:picLocks noChangeAspect="1"/>
        </xdr:cNvPicPr>
      </xdr:nvPicPr>
      <xdr:blipFill>
        <a:blip r:embed="rId222"/>
        <a:stretch>
          <a:fillRect/>
        </a:stretch>
      </xdr:blipFill>
      <xdr:spPr>
        <a:xfrm>
          <a:off x="13330555" y="99581335"/>
          <a:ext cx="7534275" cy="3057525"/>
        </a:xfrm>
        <a:prstGeom prst="rect">
          <a:avLst/>
        </a:prstGeom>
        <a:noFill/>
        <a:ln w="9525">
          <a:noFill/>
        </a:ln>
      </xdr:spPr>
    </xdr:pic>
  </etc:cellImage>
  <etc:cellImage>
    <xdr:pic>
      <xdr:nvPicPr>
        <xdr:cNvPr id="619" name="ID_AFC2651A0D8146E49256FC898809CAA2"/>
        <xdr:cNvPicPr>
          <a:picLocks noChangeAspect="1"/>
        </xdr:cNvPicPr>
      </xdr:nvPicPr>
      <xdr:blipFill>
        <a:blip r:embed="rId223"/>
        <a:stretch>
          <a:fillRect/>
        </a:stretch>
      </xdr:blipFill>
      <xdr:spPr>
        <a:xfrm>
          <a:off x="13330555" y="100419535"/>
          <a:ext cx="7467600" cy="3133725"/>
        </a:xfrm>
        <a:prstGeom prst="rect">
          <a:avLst/>
        </a:prstGeom>
        <a:noFill/>
        <a:ln w="9525">
          <a:noFill/>
        </a:ln>
      </xdr:spPr>
    </xdr:pic>
  </etc:cellImage>
  <etc:cellImage>
    <xdr:pic>
      <xdr:nvPicPr>
        <xdr:cNvPr id="620" name="ID_1A3E1E2FE872474F88D461F7B9A18D69"/>
        <xdr:cNvPicPr>
          <a:picLocks noChangeAspect="1"/>
        </xdr:cNvPicPr>
      </xdr:nvPicPr>
      <xdr:blipFill>
        <a:blip r:embed="rId224"/>
        <a:stretch>
          <a:fillRect/>
        </a:stretch>
      </xdr:blipFill>
      <xdr:spPr>
        <a:xfrm>
          <a:off x="13330555" y="110687485"/>
          <a:ext cx="7486650" cy="3086100"/>
        </a:xfrm>
        <a:prstGeom prst="rect">
          <a:avLst/>
        </a:prstGeom>
        <a:noFill/>
        <a:ln w="9525">
          <a:noFill/>
        </a:ln>
      </xdr:spPr>
    </xdr:pic>
  </etc:cellImage>
  <etc:cellImage>
    <xdr:pic>
      <xdr:nvPicPr>
        <xdr:cNvPr id="621" name="ID_734A41928A8C4D0EA398F799A4D12E98"/>
        <xdr:cNvPicPr>
          <a:picLocks noChangeAspect="1"/>
        </xdr:cNvPicPr>
      </xdr:nvPicPr>
      <xdr:blipFill>
        <a:blip r:embed="rId225"/>
        <a:stretch>
          <a:fillRect/>
        </a:stretch>
      </xdr:blipFill>
      <xdr:spPr>
        <a:xfrm>
          <a:off x="13330555" y="101048185"/>
          <a:ext cx="10677525" cy="5572125"/>
        </a:xfrm>
        <a:prstGeom prst="rect">
          <a:avLst/>
        </a:prstGeom>
        <a:noFill/>
        <a:ln w="9525">
          <a:noFill/>
        </a:ln>
      </xdr:spPr>
    </xdr:pic>
  </etc:cellImage>
  <etc:cellImage>
    <xdr:pic>
      <xdr:nvPicPr>
        <xdr:cNvPr id="622" name="ID_FD11656EB43942FE80B58447305FDB45"/>
        <xdr:cNvPicPr>
          <a:picLocks noChangeAspect="1"/>
        </xdr:cNvPicPr>
      </xdr:nvPicPr>
      <xdr:blipFill>
        <a:blip r:embed="rId226"/>
        <a:stretch>
          <a:fillRect/>
        </a:stretch>
      </xdr:blipFill>
      <xdr:spPr>
        <a:xfrm>
          <a:off x="13330555" y="102305485"/>
          <a:ext cx="7934325" cy="2990850"/>
        </a:xfrm>
        <a:prstGeom prst="rect">
          <a:avLst/>
        </a:prstGeom>
        <a:noFill/>
        <a:ln w="9525">
          <a:noFill/>
        </a:ln>
      </xdr:spPr>
    </xdr:pic>
  </etc:cellImage>
  <etc:cellImage>
    <xdr:pic>
      <xdr:nvPicPr>
        <xdr:cNvPr id="623" name="ID_91E391C4EE9C41FA888323D42C464C71"/>
        <xdr:cNvPicPr>
          <a:picLocks noChangeAspect="1"/>
        </xdr:cNvPicPr>
      </xdr:nvPicPr>
      <xdr:blipFill>
        <a:blip r:embed="rId227"/>
        <a:stretch>
          <a:fillRect/>
        </a:stretch>
      </xdr:blipFill>
      <xdr:spPr>
        <a:xfrm>
          <a:off x="13330555" y="112363885"/>
          <a:ext cx="8372475" cy="5105400"/>
        </a:xfrm>
        <a:prstGeom prst="rect">
          <a:avLst/>
        </a:prstGeom>
        <a:noFill/>
        <a:ln w="9525">
          <a:noFill/>
        </a:ln>
      </xdr:spPr>
    </xdr:pic>
  </etc:cellImage>
  <etc:cellImage>
    <xdr:pic>
      <xdr:nvPicPr>
        <xdr:cNvPr id="624" name="ID_DE704E87FAC343EC812EAD772116C50E"/>
        <xdr:cNvPicPr>
          <a:picLocks noChangeAspect="1"/>
        </xdr:cNvPicPr>
      </xdr:nvPicPr>
      <xdr:blipFill>
        <a:blip r:embed="rId228"/>
        <a:stretch>
          <a:fillRect/>
        </a:stretch>
      </xdr:blipFill>
      <xdr:spPr>
        <a:xfrm>
          <a:off x="13330555" y="102724585"/>
          <a:ext cx="7915275" cy="3028950"/>
        </a:xfrm>
        <a:prstGeom prst="rect">
          <a:avLst/>
        </a:prstGeom>
        <a:noFill/>
        <a:ln w="9525">
          <a:noFill/>
        </a:ln>
      </xdr:spPr>
    </xdr:pic>
  </etc:cellImage>
  <etc:cellImage>
    <xdr:pic>
      <xdr:nvPicPr>
        <xdr:cNvPr id="625" name="ID_032334DE04F2499BB5EE6D67880FCE3A"/>
        <xdr:cNvPicPr>
          <a:picLocks noChangeAspect="1"/>
        </xdr:cNvPicPr>
      </xdr:nvPicPr>
      <xdr:blipFill>
        <a:blip r:embed="rId229"/>
        <a:stretch>
          <a:fillRect/>
        </a:stretch>
      </xdr:blipFill>
      <xdr:spPr>
        <a:xfrm>
          <a:off x="13330555" y="113202085"/>
          <a:ext cx="7029450" cy="3067050"/>
        </a:xfrm>
        <a:prstGeom prst="rect">
          <a:avLst/>
        </a:prstGeom>
        <a:noFill/>
        <a:ln w="9525">
          <a:noFill/>
        </a:ln>
      </xdr:spPr>
    </xdr:pic>
  </etc:cellImage>
  <etc:cellImage>
    <xdr:pic>
      <xdr:nvPicPr>
        <xdr:cNvPr id="626" name="ID_4FB0475F8FC04C69A794EF43134F1AE5"/>
        <xdr:cNvPicPr>
          <a:picLocks noChangeAspect="1"/>
        </xdr:cNvPicPr>
      </xdr:nvPicPr>
      <xdr:blipFill>
        <a:blip r:embed="rId230"/>
        <a:stretch>
          <a:fillRect/>
        </a:stretch>
      </xdr:blipFill>
      <xdr:spPr>
        <a:xfrm>
          <a:off x="13330555" y="103562785"/>
          <a:ext cx="8020050" cy="3057525"/>
        </a:xfrm>
        <a:prstGeom prst="rect">
          <a:avLst/>
        </a:prstGeom>
        <a:noFill/>
        <a:ln w="9525">
          <a:noFill/>
        </a:ln>
      </xdr:spPr>
    </xdr:pic>
  </etc:cellImage>
  <etc:cellImage>
    <xdr:pic>
      <xdr:nvPicPr>
        <xdr:cNvPr id="627" name="ID_49A9043EA27E41E9BDB3024B42B9E5FE"/>
        <xdr:cNvPicPr>
          <a:picLocks noChangeAspect="1"/>
        </xdr:cNvPicPr>
      </xdr:nvPicPr>
      <xdr:blipFill>
        <a:blip r:embed="rId231"/>
        <a:stretch>
          <a:fillRect/>
        </a:stretch>
      </xdr:blipFill>
      <xdr:spPr>
        <a:xfrm>
          <a:off x="13330555" y="103981885"/>
          <a:ext cx="7991475" cy="3048000"/>
        </a:xfrm>
        <a:prstGeom prst="rect">
          <a:avLst/>
        </a:prstGeom>
        <a:noFill/>
        <a:ln w="9525">
          <a:noFill/>
        </a:ln>
      </xdr:spPr>
    </xdr:pic>
  </etc:cellImage>
  <etc:cellImage>
    <xdr:pic>
      <xdr:nvPicPr>
        <xdr:cNvPr id="628" name="ID_FC1BCEFFBC5F42BF97456ECC51E94F7B"/>
        <xdr:cNvPicPr>
          <a:picLocks noChangeAspect="1"/>
        </xdr:cNvPicPr>
      </xdr:nvPicPr>
      <xdr:blipFill>
        <a:blip r:embed="rId232"/>
        <a:stretch>
          <a:fillRect/>
        </a:stretch>
      </xdr:blipFill>
      <xdr:spPr>
        <a:xfrm>
          <a:off x="13330555" y="125984635"/>
          <a:ext cx="7915275" cy="3067050"/>
        </a:xfrm>
        <a:prstGeom prst="rect">
          <a:avLst/>
        </a:prstGeom>
        <a:noFill/>
        <a:ln w="9525">
          <a:noFill/>
        </a:ln>
      </xdr:spPr>
    </xdr:pic>
  </etc:cellImage>
  <etc:cellImage>
    <xdr:pic>
      <xdr:nvPicPr>
        <xdr:cNvPr id="629" name="ID_7AD714BF3BEA42D89D3926FAF28CEEE7"/>
        <xdr:cNvPicPr>
          <a:picLocks noChangeAspect="1"/>
        </xdr:cNvPicPr>
      </xdr:nvPicPr>
      <xdr:blipFill>
        <a:blip r:embed="rId233"/>
        <a:stretch>
          <a:fillRect/>
        </a:stretch>
      </xdr:blipFill>
      <xdr:spPr>
        <a:xfrm>
          <a:off x="13330555" y="104820085"/>
          <a:ext cx="8058150" cy="3076575"/>
        </a:xfrm>
        <a:prstGeom prst="rect">
          <a:avLst/>
        </a:prstGeom>
        <a:noFill/>
        <a:ln w="9525">
          <a:noFill/>
        </a:ln>
      </xdr:spPr>
    </xdr:pic>
  </etc:cellImage>
  <etc:cellImage>
    <xdr:pic>
      <xdr:nvPicPr>
        <xdr:cNvPr id="630" name="ID_BBA9BE94E1574BD99646EC44F68ADCB1"/>
        <xdr:cNvPicPr>
          <a:picLocks noChangeAspect="1"/>
        </xdr:cNvPicPr>
      </xdr:nvPicPr>
      <xdr:blipFill>
        <a:blip r:embed="rId234"/>
        <a:stretch>
          <a:fillRect/>
        </a:stretch>
      </xdr:blipFill>
      <xdr:spPr>
        <a:xfrm>
          <a:off x="13330555" y="105658285"/>
          <a:ext cx="7972425" cy="3067050"/>
        </a:xfrm>
        <a:prstGeom prst="rect">
          <a:avLst/>
        </a:prstGeom>
        <a:noFill/>
        <a:ln w="9525">
          <a:noFill/>
        </a:ln>
      </xdr:spPr>
    </xdr:pic>
  </etc:cellImage>
  <etc:cellImage>
    <xdr:pic>
      <xdr:nvPicPr>
        <xdr:cNvPr id="631" name="ID_EA81B9BA509C44F7BFB8BDF03585BF93"/>
        <xdr:cNvPicPr>
          <a:picLocks noChangeAspect="1"/>
        </xdr:cNvPicPr>
      </xdr:nvPicPr>
      <xdr:blipFill>
        <a:blip r:embed="rId235"/>
        <a:stretch>
          <a:fillRect/>
        </a:stretch>
      </xdr:blipFill>
      <xdr:spPr>
        <a:xfrm>
          <a:off x="13330555" y="106077385"/>
          <a:ext cx="8001000" cy="3048000"/>
        </a:xfrm>
        <a:prstGeom prst="rect">
          <a:avLst/>
        </a:prstGeom>
        <a:noFill/>
        <a:ln w="9525">
          <a:noFill/>
        </a:ln>
      </xdr:spPr>
    </xdr:pic>
  </etc:cellImage>
  <etc:cellImage>
    <xdr:pic>
      <xdr:nvPicPr>
        <xdr:cNvPr id="632" name="ID_3075FF6127B74A4587596258E08E884B"/>
        <xdr:cNvPicPr>
          <a:picLocks noChangeAspect="1"/>
        </xdr:cNvPicPr>
      </xdr:nvPicPr>
      <xdr:blipFill>
        <a:blip r:embed="rId236"/>
        <a:stretch>
          <a:fillRect/>
        </a:stretch>
      </xdr:blipFill>
      <xdr:spPr>
        <a:xfrm>
          <a:off x="13330555" y="106496485"/>
          <a:ext cx="8010525" cy="3009900"/>
        </a:xfrm>
        <a:prstGeom prst="rect">
          <a:avLst/>
        </a:prstGeom>
        <a:noFill/>
        <a:ln w="9525">
          <a:noFill/>
        </a:ln>
      </xdr:spPr>
    </xdr:pic>
  </etc:cellImage>
  <etc:cellImage>
    <xdr:pic>
      <xdr:nvPicPr>
        <xdr:cNvPr id="633" name="ID_A004AECE6CFE469CA3166DFE9C88B772"/>
        <xdr:cNvPicPr>
          <a:picLocks noChangeAspect="1"/>
        </xdr:cNvPicPr>
      </xdr:nvPicPr>
      <xdr:blipFill>
        <a:blip r:embed="rId237"/>
        <a:stretch>
          <a:fillRect/>
        </a:stretch>
      </xdr:blipFill>
      <xdr:spPr>
        <a:xfrm>
          <a:off x="13330555" y="107334685"/>
          <a:ext cx="7458075" cy="3028950"/>
        </a:xfrm>
        <a:prstGeom prst="rect">
          <a:avLst/>
        </a:prstGeom>
        <a:noFill/>
        <a:ln w="9525">
          <a:noFill/>
        </a:ln>
      </xdr:spPr>
    </xdr:pic>
  </etc:cellImage>
  <etc:cellImage>
    <xdr:pic>
      <xdr:nvPicPr>
        <xdr:cNvPr id="634" name="ID_1B38D2BA7320440D9E50906C20F989AB"/>
        <xdr:cNvPicPr>
          <a:picLocks noChangeAspect="1"/>
        </xdr:cNvPicPr>
      </xdr:nvPicPr>
      <xdr:blipFill>
        <a:blip r:embed="rId238"/>
        <a:stretch>
          <a:fillRect/>
        </a:stretch>
      </xdr:blipFill>
      <xdr:spPr>
        <a:xfrm>
          <a:off x="13846810" y="119298085"/>
          <a:ext cx="7391400" cy="3057525"/>
        </a:xfrm>
        <a:prstGeom prst="rect">
          <a:avLst/>
        </a:prstGeom>
        <a:noFill/>
        <a:ln w="9525">
          <a:noFill/>
        </a:ln>
      </xdr:spPr>
    </xdr:pic>
  </etc:cellImage>
  <etc:cellImage>
    <xdr:pic>
      <xdr:nvPicPr>
        <xdr:cNvPr id="635" name="ID_A43887F8774C478C8372E71C492A4114"/>
        <xdr:cNvPicPr>
          <a:picLocks noChangeAspect="1"/>
        </xdr:cNvPicPr>
      </xdr:nvPicPr>
      <xdr:blipFill>
        <a:blip r:embed="rId239"/>
        <a:stretch>
          <a:fillRect/>
        </a:stretch>
      </xdr:blipFill>
      <xdr:spPr>
        <a:xfrm>
          <a:off x="13330555" y="107753785"/>
          <a:ext cx="12753975" cy="5372100"/>
        </a:xfrm>
        <a:prstGeom prst="rect">
          <a:avLst/>
        </a:prstGeom>
        <a:noFill/>
        <a:ln w="9525">
          <a:noFill/>
        </a:ln>
      </xdr:spPr>
    </xdr:pic>
  </etc:cellImage>
  <etc:cellImage>
    <xdr:pic>
      <xdr:nvPicPr>
        <xdr:cNvPr id="636" name="ID_7C112FE1858B480D973EEB03B5D9B15D"/>
        <xdr:cNvPicPr>
          <a:picLocks noChangeAspect="1"/>
        </xdr:cNvPicPr>
      </xdr:nvPicPr>
      <xdr:blipFill>
        <a:blip r:embed="rId240"/>
        <a:stretch>
          <a:fillRect/>
        </a:stretch>
      </xdr:blipFill>
      <xdr:spPr>
        <a:xfrm>
          <a:off x="13330555" y="109011085"/>
          <a:ext cx="10391775" cy="6115050"/>
        </a:xfrm>
        <a:prstGeom prst="rect">
          <a:avLst/>
        </a:prstGeom>
        <a:noFill/>
        <a:ln w="9525">
          <a:noFill/>
        </a:ln>
      </xdr:spPr>
    </xdr:pic>
  </etc:cellImage>
  <etc:cellImage>
    <xdr:pic>
      <xdr:nvPicPr>
        <xdr:cNvPr id="637" name="ID_194E2DF4308D43278416ECB45B949AF6"/>
        <xdr:cNvPicPr>
          <a:picLocks noChangeAspect="1"/>
        </xdr:cNvPicPr>
      </xdr:nvPicPr>
      <xdr:blipFill>
        <a:blip r:embed="rId241"/>
        <a:stretch>
          <a:fillRect/>
        </a:stretch>
      </xdr:blipFill>
      <xdr:spPr>
        <a:xfrm>
          <a:off x="13330555" y="109430185"/>
          <a:ext cx="12553950" cy="6486525"/>
        </a:xfrm>
        <a:prstGeom prst="rect">
          <a:avLst/>
        </a:prstGeom>
        <a:noFill/>
        <a:ln w="9525">
          <a:noFill/>
        </a:ln>
      </xdr:spPr>
    </xdr:pic>
  </etc:cellImage>
  <etc:cellImage>
    <xdr:pic>
      <xdr:nvPicPr>
        <xdr:cNvPr id="638" name="ID_01C5F4B3BF3A4926965AC6115B1FED75"/>
        <xdr:cNvPicPr>
          <a:picLocks noChangeAspect="1"/>
        </xdr:cNvPicPr>
      </xdr:nvPicPr>
      <xdr:blipFill>
        <a:blip r:embed="rId242"/>
        <a:stretch>
          <a:fillRect/>
        </a:stretch>
      </xdr:blipFill>
      <xdr:spPr>
        <a:xfrm>
          <a:off x="13330555" y="110268385"/>
          <a:ext cx="7391400" cy="3124200"/>
        </a:xfrm>
        <a:prstGeom prst="rect">
          <a:avLst/>
        </a:prstGeom>
        <a:noFill/>
        <a:ln w="9525">
          <a:noFill/>
        </a:ln>
      </xdr:spPr>
    </xdr:pic>
  </etc:cellImage>
  <etc:cellImage>
    <xdr:pic>
      <xdr:nvPicPr>
        <xdr:cNvPr id="639" name="ID_D208BB710EAC4C3A932DA6A0D309C5CD"/>
        <xdr:cNvPicPr>
          <a:picLocks noChangeAspect="1"/>
        </xdr:cNvPicPr>
      </xdr:nvPicPr>
      <xdr:blipFill>
        <a:blip r:embed="rId243"/>
        <a:stretch>
          <a:fillRect/>
        </a:stretch>
      </xdr:blipFill>
      <xdr:spPr>
        <a:xfrm>
          <a:off x="13330555" y="111106585"/>
          <a:ext cx="7486650" cy="3152775"/>
        </a:xfrm>
        <a:prstGeom prst="rect">
          <a:avLst/>
        </a:prstGeom>
        <a:noFill/>
        <a:ln w="9525">
          <a:noFill/>
        </a:ln>
      </xdr:spPr>
    </xdr:pic>
  </etc:cellImage>
  <etc:cellImage>
    <xdr:pic>
      <xdr:nvPicPr>
        <xdr:cNvPr id="640" name="ID_A8BF7F5D101247248DBD62100AAA777C"/>
        <xdr:cNvPicPr>
          <a:picLocks noChangeAspect="1"/>
        </xdr:cNvPicPr>
      </xdr:nvPicPr>
      <xdr:blipFill>
        <a:blip r:embed="rId244"/>
        <a:stretch>
          <a:fillRect/>
        </a:stretch>
      </xdr:blipFill>
      <xdr:spPr>
        <a:xfrm>
          <a:off x="13330555" y="123050935"/>
          <a:ext cx="8010525" cy="3076575"/>
        </a:xfrm>
        <a:prstGeom prst="rect">
          <a:avLst/>
        </a:prstGeom>
        <a:noFill/>
        <a:ln w="9525">
          <a:noFill/>
        </a:ln>
      </xdr:spPr>
    </xdr:pic>
  </etc:cellImage>
  <etc:cellImage>
    <xdr:pic>
      <xdr:nvPicPr>
        <xdr:cNvPr id="641" name="ID_3F0C4EE344374E8C9ACA210C6AC8562B"/>
        <xdr:cNvPicPr>
          <a:picLocks noChangeAspect="1"/>
        </xdr:cNvPicPr>
      </xdr:nvPicPr>
      <xdr:blipFill>
        <a:blip r:embed="rId245"/>
        <a:stretch>
          <a:fillRect/>
        </a:stretch>
      </xdr:blipFill>
      <xdr:spPr>
        <a:xfrm>
          <a:off x="13330555" y="111525685"/>
          <a:ext cx="7515225" cy="3095625"/>
        </a:xfrm>
        <a:prstGeom prst="rect">
          <a:avLst/>
        </a:prstGeom>
        <a:noFill/>
        <a:ln w="9525">
          <a:noFill/>
        </a:ln>
      </xdr:spPr>
    </xdr:pic>
  </etc:cellImage>
  <etc:cellImage>
    <xdr:pic>
      <xdr:nvPicPr>
        <xdr:cNvPr id="642" name="ID_88718000B9C443EF99C05E1B4B5008C7"/>
        <xdr:cNvPicPr>
          <a:picLocks noChangeAspect="1"/>
        </xdr:cNvPicPr>
      </xdr:nvPicPr>
      <xdr:blipFill>
        <a:blip r:embed="rId246"/>
        <a:stretch>
          <a:fillRect/>
        </a:stretch>
      </xdr:blipFill>
      <xdr:spPr>
        <a:xfrm>
          <a:off x="13330555" y="111944785"/>
          <a:ext cx="7486650" cy="3048000"/>
        </a:xfrm>
        <a:prstGeom prst="rect">
          <a:avLst/>
        </a:prstGeom>
        <a:noFill/>
        <a:ln w="9525">
          <a:noFill/>
        </a:ln>
      </xdr:spPr>
    </xdr:pic>
  </etc:cellImage>
  <etc:cellImage>
    <xdr:pic>
      <xdr:nvPicPr>
        <xdr:cNvPr id="643" name="ID_1A9BC0C4F1C941F89F8924CFFB55DE7E"/>
        <xdr:cNvPicPr>
          <a:picLocks noChangeAspect="1"/>
        </xdr:cNvPicPr>
      </xdr:nvPicPr>
      <xdr:blipFill>
        <a:blip r:embed="rId247"/>
        <a:stretch>
          <a:fillRect/>
        </a:stretch>
      </xdr:blipFill>
      <xdr:spPr>
        <a:xfrm>
          <a:off x="13330555" y="112782985"/>
          <a:ext cx="7934325" cy="3038475"/>
        </a:xfrm>
        <a:prstGeom prst="rect">
          <a:avLst/>
        </a:prstGeom>
        <a:noFill/>
        <a:ln w="9525">
          <a:noFill/>
        </a:ln>
      </xdr:spPr>
    </xdr:pic>
  </etc:cellImage>
  <etc:cellImage>
    <xdr:pic>
      <xdr:nvPicPr>
        <xdr:cNvPr id="644" name="ID_497CB871F4FD4FA4AAA2E196FE284C30"/>
        <xdr:cNvPicPr>
          <a:picLocks noChangeAspect="1"/>
        </xdr:cNvPicPr>
      </xdr:nvPicPr>
      <xdr:blipFill>
        <a:blip r:embed="rId248"/>
        <a:stretch>
          <a:fillRect/>
        </a:stretch>
      </xdr:blipFill>
      <xdr:spPr>
        <a:xfrm>
          <a:off x="13330555" y="116345335"/>
          <a:ext cx="12182475" cy="3400425"/>
        </a:xfrm>
        <a:prstGeom prst="rect">
          <a:avLst/>
        </a:prstGeom>
        <a:noFill/>
        <a:ln w="9525">
          <a:noFill/>
        </a:ln>
      </xdr:spPr>
    </xdr:pic>
  </etc:cellImage>
  <etc:cellImage>
    <xdr:pic>
      <xdr:nvPicPr>
        <xdr:cNvPr id="645" name="ID_AE8396AF69714C6289AA6B960EC06495"/>
        <xdr:cNvPicPr>
          <a:picLocks noChangeAspect="1"/>
        </xdr:cNvPicPr>
      </xdr:nvPicPr>
      <xdr:blipFill>
        <a:blip r:embed="rId249"/>
        <a:stretch>
          <a:fillRect/>
        </a:stretch>
      </xdr:blipFill>
      <xdr:spPr>
        <a:xfrm>
          <a:off x="13330555" y="117602635"/>
          <a:ext cx="7477125" cy="3086100"/>
        </a:xfrm>
        <a:prstGeom prst="rect">
          <a:avLst/>
        </a:prstGeom>
        <a:noFill/>
        <a:ln w="9525">
          <a:noFill/>
        </a:ln>
      </xdr:spPr>
    </xdr:pic>
  </etc:cellImage>
  <etc:cellImage>
    <xdr:pic>
      <xdr:nvPicPr>
        <xdr:cNvPr id="646" name="ID_160F7BE6D78A4C94805FCAE5FA4D7AD6"/>
        <xdr:cNvPicPr>
          <a:picLocks noChangeAspect="1"/>
        </xdr:cNvPicPr>
      </xdr:nvPicPr>
      <xdr:blipFill>
        <a:blip r:embed="rId250"/>
        <a:stretch>
          <a:fillRect/>
        </a:stretch>
      </xdr:blipFill>
      <xdr:spPr>
        <a:xfrm>
          <a:off x="13330555" y="118021735"/>
          <a:ext cx="7477125" cy="3076575"/>
        </a:xfrm>
        <a:prstGeom prst="rect">
          <a:avLst/>
        </a:prstGeom>
        <a:noFill/>
        <a:ln w="9525">
          <a:noFill/>
        </a:ln>
      </xdr:spPr>
    </xdr:pic>
  </etc:cellImage>
  <etc:cellImage>
    <xdr:pic>
      <xdr:nvPicPr>
        <xdr:cNvPr id="647" name="ID_157D7654B4B14EA9A181A4C000A4FEEC"/>
        <xdr:cNvPicPr>
          <a:picLocks noChangeAspect="1"/>
        </xdr:cNvPicPr>
      </xdr:nvPicPr>
      <xdr:blipFill>
        <a:blip r:embed="rId251"/>
        <a:stretch>
          <a:fillRect/>
        </a:stretch>
      </xdr:blipFill>
      <xdr:spPr>
        <a:xfrm>
          <a:off x="13330555" y="118859935"/>
          <a:ext cx="10134600" cy="6372225"/>
        </a:xfrm>
        <a:prstGeom prst="rect">
          <a:avLst/>
        </a:prstGeom>
        <a:noFill/>
        <a:ln w="9525">
          <a:noFill/>
        </a:ln>
      </xdr:spPr>
    </xdr:pic>
  </etc:cellImage>
  <etc:cellImage>
    <xdr:pic>
      <xdr:nvPicPr>
        <xdr:cNvPr id="648" name="ID_E67B96374A914F64B074DD8F13B7F4A5"/>
        <xdr:cNvPicPr>
          <a:picLocks noChangeAspect="1"/>
        </xdr:cNvPicPr>
      </xdr:nvPicPr>
      <xdr:blipFill>
        <a:blip r:embed="rId252"/>
        <a:stretch>
          <a:fillRect/>
        </a:stretch>
      </xdr:blipFill>
      <xdr:spPr>
        <a:xfrm>
          <a:off x="13330555" y="119698135"/>
          <a:ext cx="7448550" cy="3048000"/>
        </a:xfrm>
        <a:prstGeom prst="rect">
          <a:avLst/>
        </a:prstGeom>
        <a:noFill/>
        <a:ln w="9525">
          <a:noFill/>
        </a:ln>
      </xdr:spPr>
    </xdr:pic>
  </etc:cellImage>
  <etc:cellImage>
    <xdr:pic>
      <xdr:nvPicPr>
        <xdr:cNvPr id="649" name="ID_9B680F587D5142CEA5B18DCE7505A919"/>
        <xdr:cNvPicPr>
          <a:picLocks noChangeAspect="1"/>
        </xdr:cNvPicPr>
      </xdr:nvPicPr>
      <xdr:blipFill>
        <a:blip r:embed="rId253"/>
        <a:stretch>
          <a:fillRect/>
        </a:stretch>
      </xdr:blipFill>
      <xdr:spPr>
        <a:xfrm>
          <a:off x="13330555" y="120117235"/>
          <a:ext cx="7439025" cy="3076575"/>
        </a:xfrm>
        <a:prstGeom prst="rect">
          <a:avLst/>
        </a:prstGeom>
        <a:noFill/>
        <a:ln w="9525">
          <a:noFill/>
        </a:ln>
      </xdr:spPr>
    </xdr:pic>
  </etc:cellImage>
  <etc:cellImage>
    <xdr:pic>
      <xdr:nvPicPr>
        <xdr:cNvPr id="650" name="ID_E84D8A33AD72492296CAC34CA7DEF448"/>
        <xdr:cNvPicPr>
          <a:picLocks noChangeAspect="1"/>
        </xdr:cNvPicPr>
      </xdr:nvPicPr>
      <xdr:blipFill>
        <a:blip r:embed="rId254"/>
        <a:stretch>
          <a:fillRect/>
        </a:stretch>
      </xdr:blipFill>
      <xdr:spPr>
        <a:xfrm>
          <a:off x="13330555" y="120955435"/>
          <a:ext cx="11725275" cy="3324225"/>
        </a:xfrm>
        <a:prstGeom prst="rect">
          <a:avLst/>
        </a:prstGeom>
        <a:noFill/>
        <a:ln w="9525">
          <a:noFill/>
        </a:ln>
      </xdr:spPr>
    </xdr:pic>
  </etc:cellImage>
  <etc:cellImage>
    <xdr:pic>
      <xdr:nvPicPr>
        <xdr:cNvPr id="651" name="ID_FF938C1DF0954E78B364AABD0B881F59"/>
        <xdr:cNvPicPr>
          <a:picLocks noChangeAspect="1"/>
        </xdr:cNvPicPr>
      </xdr:nvPicPr>
      <xdr:blipFill>
        <a:blip r:embed="rId255"/>
        <a:stretch>
          <a:fillRect/>
        </a:stretch>
      </xdr:blipFill>
      <xdr:spPr>
        <a:xfrm>
          <a:off x="13330555" y="121374535"/>
          <a:ext cx="7000875" cy="6734175"/>
        </a:xfrm>
        <a:prstGeom prst="rect">
          <a:avLst/>
        </a:prstGeom>
        <a:noFill/>
        <a:ln w="9525">
          <a:noFill/>
        </a:ln>
      </xdr:spPr>
    </xdr:pic>
  </etc:cellImage>
  <etc:cellImage>
    <xdr:pic>
      <xdr:nvPicPr>
        <xdr:cNvPr id="652" name="ID_CB1BD6F974D64E67986928F3DF42B5C0"/>
        <xdr:cNvPicPr>
          <a:picLocks noChangeAspect="1"/>
        </xdr:cNvPicPr>
      </xdr:nvPicPr>
      <xdr:blipFill>
        <a:blip r:embed="rId256"/>
        <a:stretch>
          <a:fillRect/>
        </a:stretch>
      </xdr:blipFill>
      <xdr:spPr>
        <a:xfrm>
          <a:off x="13330555" y="121793635"/>
          <a:ext cx="7458075" cy="3048000"/>
        </a:xfrm>
        <a:prstGeom prst="rect">
          <a:avLst/>
        </a:prstGeom>
        <a:noFill/>
        <a:ln w="9525">
          <a:noFill/>
        </a:ln>
      </xdr:spPr>
    </xdr:pic>
  </etc:cellImage>
  <etc:cellImage>
    <xdr:pic>
      <xdr:nvPicPr>
        <xdr:cNvPr id="653" name="ID_497D39E6BB3F41D38DD58B87FB2A1CD5"/>
        <xdr:cNvPicPr>
          <a:picLocks noChangeAspect="1"/>
        </xdr:cNvPicPr>
      </xdr:nvPicPr>
      <xdr:blipFill>
        <a:blip r:embed="rId257"/>
        <a:stretch>
          <a:fillRect/>
        </a:stretch>
      </xdr:blipFill>
      <xdr:spPr>
        <a:xfrm>
          <a:off x="13330555" y="123470035"/>
          <a:ext cx="7915275" cy="2686050"/>
        </a:xfrm>
        <a:prstGeom prst="rect">
          <a:avLst/>
        </a:prstGeom>
        <a:noFill/>
        <a:ln w="9525">
          <a:noFill/>
        </a:ln>
      </xdr:spPr>
    </xdr:pic>
  </etc:cellImage>
  <etc:cellImage>
    <xdr:pic>
      <xdr:nvPicPr>
        <xdr:cNvPr id="654" name="ID_46479667308348238E0E6CE5286F8F51"/>
        <xdr:cNvPicPr>
          <a:picLocks noChangeAspect="1"/>
        </xdr:cNvPicPr>
      </xdr:nvPicPr>
      <xdr:blipFill>
        <a:blip r:embed="rId258"/>
        <a:stretch>
          <a:fillRect/>
        </a:stretch>
      </xdr:blipFill>
      <xdr:spPr>
        <a:xfrm>
          <a:off x="13330555" y="123889135"/>
          <a:ext cx="8105775" cy="3048000"/>
        </a:xfrm>
        <a:prstGeom prst="rect">
          <a:avLst/>
        </a:prstGeom>
        <a:noFill/>
        <a:ln w="9525">
          <a:noFill/>
        </a:ln>
      </xdr:spPr>
    </xdr:pic>
  </etc:cellImage>
  <etc:cellImage>
    <xdr:pic>
      <xdr:nvPicPr>
        <xdr:cNvPr id="655" name="ID_8BAD950E2AC245DAB39ADE1EE57C43F3"/>
        <xdr:cNvPicPr>
          <a:picLocks noChangeAspect="1"/>
        </xdr:cNvPicPr>
      </xdr:nvPicPr>
      <xdr:blipFill>
        <a:blip r:embed="rId259"/>
        <a:stretch>
          <a:fillRect/>
        </a:stretch>
      </xdr:blipFill>
      <xdr:spPr>
        <a:xfrm>
          <a:off x="13330555" y="124308235"/>
          <a:ext cx="8010525" cy="3028950"/>
        </a:xfrm>
        <a:prstGeom prst="rect">
          <a:avLst/>
        </a:prstGeom>
        <a:noFill/>
        <a:ln w="9525">
          <a:noFill/>
        </a:ln>
      </xdr:spPr>
    </xdr:pic>
  </etc:cellImage>
  <etc:cellImage>
    <xdr:pic>
      <xdr:nvPicPr>
        <xdr:cNvPr id="656" name="ID_5063FCEB34DB45E698CE8C0A6F5349F3"/>
        <xdr:cNvPicPr>
          <a:picLocks noChangeAspect="1"/>
        </xdr:cNvPicPr>
      </xdr:nvPicPr>
      <xdr:blipFill>
        <a:blip r:embed="rId260"/>
        <a:stretch>
          <a:fillRect/>
        </a:stretch>
      </xdr:blipFill>
      <xdr:spPr>
        <a:xfrm>
          <a:off x="13330555" y="124727335"/>
          <a:ext cx="7943850" cy="3105150"/>
        </a:xfrm>
        <a:prstGeom prst="rect">
          <a:avLst/>
        </a:prstGeom>
        <a:noFill/>
        <a:ln w="9525">
          <a:noFill/>
        </a:ln>
      </xdr:spPr>
    </xdr:pic>
  </etc:cellImage>
  <etc:cellImage>
    <xdr:pic>
      <xdr:nvPicPr>
        <xdr:cNvPr id="657" name="ID_27EC5F1F398D491CB2912E1182B97E56"/>
        <xdr:cNvPicPr>
          <a:picLocks noChangeAspect="1"/>
        </xdr:cNvPicPr>
      </xdr:nvPicPr>
      <xdr:blipFill>
        <a:blip r:embed="rId261"/>
        <a:stretch>
          <a:fillRect/>
        </a:stretch>
      </xdr:blipFill>
      <xdr:spPr>
        <a:xfrm>
          <a:off x="13330555" y="125565535"/>
          <a:ext cx="9277350" cy="2600325"/>
        </a:xfrm>
        <a:prstGeom prst="rect">
          <a:avLst/>
        </a:prstGeom>
        <a:noFill/>
        <a:ln w="9525">
          <a:noFill/>
        </a:ln>
      </xdr:spPr>
    </xdr:pic>
  </etc:cellImage>
  <etc:cellImage>
    <xdr:pic>
      <xdr:nvPicPr>
        <xdr:cNvPr id="658" name="ID_F9FDA1F7093F4F988B2B09F13C11F621"/>
        <xdr:cNvPicPr>
          <a:picLocks noChangeAspect="1"/>
        </xdr:cNvPicPr>
      </xdr:nvPicPr>
      <xdr:blipFill>
        <a:blip r:embed="rId262"/>
        <a:stretch>
          <a:fillRect/>
        </a:stretch>
      </xdr:blipFill>
      <xdr:spPr>
        <a:xfrm>
          <a:off x="13330555" y="128708785"/>
          <a:ext cx="7924800" cy="3076575"/>
        </a:xfrm>
        <a:prstGeom prst="rect">
          <a:avLst/>
        </a:prstGeom>
        <a:noFill/>
        <a:ln w="9525">
          <a:noFill/>
        </a:ln>
      </xdr:spPr>
    </xdr:pic>
  </etc:cellImage>
  <etc:cellImage>
    <xdr:pic>
      <xdr:nvPicPr>
        <xdr:cNvPr id="659" name="ID_A36B6F9501BF41BBAD44343285681B86"/>
        <xdr:cNvPicPr>
          <a:picLocks noChangeAspect="1"/>
        </xdr:cNvPicPr>
      </xdr:nvPicPr>
      <xdr:blipFill>
        <a:blip r:embed="rId263"/>
        <a:stretch>
          <a:fillRect/>
        </a:stretch>
      </xdr:blipFill>
      <xdr:spPr>
        <a:xfrm>
          <a:off x="13330555" y="129127885"/>
          <a:ext cx="7905750" cy="3028950"/>
        </a:xfrm>
        <a:prstGeom prst="rect">
          <a:avLst/>
        </a:prstGeom>
        <a:noFill/>
        <a:ln w="9525">
          <a:noFill/>
        </a:ln>
      </xdr:spPr>
    </xdr:pic>
  </etc:cellImage>
  <etc:cellImage>
    <xdr:pic>
      <xdr:nvPicPr>
        <xdr:cNvPr id="660" name="ID_892E3B846D324306B389C6FCADAF109E"/>
        <xdr:cNvPicPr>
          <a:picLocks noChangeAspect="1"/>
        </xdr:cNvPicPr>
      </xdr:nvPicPr>
      <xdr:blipFill>
        <a:blip r:embed="rId264"/>
        <a:stretch>
          <a:fillRect/>
        </a:stretch>
      </xdr:blipFill>
      <xdr:spPr>
        <a:xfrm>
          <a:off x="13330555" y="129546985"/>
          <a:ext cx="8020050" cy="3095625"/>
        </a:xfrm>
        <a:prstGeom prst="rect">
          <a:avLst/>
        </a:prstGeom>
        <a:noFill/>
        <a:ln w="9525">
          <a:noFill/>
        </a:ln>
      </xdr:spPr>
    </xdr:pic>
  </etc:cellImage>
  <etc:cellImage>
    <xdr:pic>
      <xdr:nvPicPr>
        <xdr:cNvPr id="661" name="ID_F431B7D2182B43A29A0E2E2E229E5F21"/>
        <xdr:cNvPicPr>
          <a:picLocks noChangeAspect="1"/>
        </xdr:cNvPicPr>
      </xdr:nvPicPr>
      <xdr:blipFill>
        <a:blip r:embed="rId265"/>
        <a:stretch>
          <a:fillRect/>
        </a:stretch>
      </xdr:blipFill>
      <xdr:spPr>
        <a:xfrm>
          <a:off x="13330555" y="130175635"/>
          <a:ext cx="7962900" cy="3105150"/>
        </a:xfrm>
        <a:prstGeom prst="rect">
          <a:avLst/>
        </a:prstGeom>
        <a:noFill/>
        <a:ln w="9525">
          <a:noFill/>
        </a:ln>
      </xdr:spPr>
    </xdr:pic>
  </etc:cellImage>
  <etc:cellImage>
    <xdr:pic>
      <xdr:nvPicPr>
        <xdr:cNvPr id="662" name="ID_A9AE36BDB8CA4D16BB4C47AD135C0169"/>
        <xdr:cNvPicPr>
          <a:picLocks noChangeAspect="1"/>
        </xdr:cNvPicPr>
      </xdr:nvPicPr>
      <xdr:blipFill>
        <a:blip r:embed="rId266"/>
        <a:stretch>
          <a:fillRect/>
        </a:stretch>
      </xdr:blipFill>
      <xdr:spPr>
        <a:xfrm>
          <a:off x="13330555" y="130594735"/>
          <a:ext cx="7991475" cy="3048000"/>
        </a:xfrm>
        <a:prstGeom prst="rect">
          <a:avLst/>
        </a:prstGeom>
        <a:noFill/>
        <a:ln w="9525">
          <a:noFill/>
        </a:ln>
      </xdr:spPr>
    </xdr:pic>
  </etc:cellImage>
  <etc:cellImage>
    <xdr:pic>
      <xdr:nvPicPr>
        <xdr:cNvPr id="663" name="ID_F0435B3499B8488398D9B454821FAADB"/>
        <xdr:cNvPicPr>
          <a:picLocks noChangeAspect="1"/>
        </xdr:cNvPicPr>
      </xdr:nvPicPr>
      <xdr:blipFill>
        <a:blip r:embed="rId267"/>
        <a:stretch>
          <a:fillRect/>
        </a:stretch>
      </xdr:blipFill>
      <xdr:spPr>
        <a:xfrm>
          <a:off x="12837795" y="12184380"/>
          <a:ext cx="12734925" cy="3267075"/>
        </a:xfrm>
        <a:prstGeom prst="rect">
          <a:avLst/>
        </a:prstGeom>
        <a:noFill/>
        <a:ln w="9525">
          <a:noFill/>
        </a:ln>
      </xdr:spPr>
    </xdr:pic>
  </etc:cellImage>
  <etc:cellImage>
    <xdr:pic>
      <xdr:nvPicPr>
        <xdr:cNvPr id="664" name="ID_3A79970E438E4B7CB1A609BB7E58AADA"/>
        <xdr:cNvPicPr>
          <a:picLocks noChangeAspect="1"/>
        </xdr:cNvPicPr>
      </xdr:nvPicPr>
      <xdr:blipFill>
        <a:blip r:embed="rId268"/>
        <a:stretch>
          <a:fillRect/>
        </a:stretch>
      </xdr:blipFill>
      <xdr:spPr>
        <a:xfrm>
          <a:off x="12837795" y="12454890"/>
          <a:ext cx="12563475" cy="3038475"/>
        </a:xfrm>
        <a:prstGeom prst="rect">
          <a:avLst/>
        </a:prstGeom>
        <a:noFill/>
        <a:ln w="9525">
          <a:noFill/>
        </a:ln>
      </xdr:spPr>
    </xdr:pic>
  </etc:cellImage>
  <etc:cellImage>
    <xdr:pic>
      <xdr:nvPicPr>
        <xdr:cNvPr id="665" name="ID_C7211E65DAE34E9B80DA8E1C9705739A"/>
        <xdr:cNvPicPr>
          <a:picLocks noChangeAspect="1"/>
        </xdr:cNvPicPr>
      </xdr:nvPicPr>
      <xdr:blipFill>
        <a:blip r:embed="rId269"/>
        <a:stretch>
          <a:fillRect/>
        </a:stretch>
      </xdr:blipFill>
      <xdr:spPr>
        <a:xfrm>
          <a:off x="12837795" y="20952460"/>
          <a:ext cx="12887325" cy="3076575"/>
        </a:xfrm>
        <a:prstGeom prst="rect">
          <a:avLst/>
        </a:prstGeom>
        <a:noFill/>
        <a:ln w="9525">
          <a:noFill/>
        </a:ln>
      </xdr:spPr>
    </xdr:pic>
  </etc:cellImage>
  <etc:cellImage>
    <xdr:pic>
      <xdr:nvPicPr>
        <xdr:cNvPr id="666" name="ID_CB2752DA6E0B4564B25631B0D1834BA9"/>
        <xdr:cNvPicPr>
          <a:picLocks noChangeAspect="1"/>
        </xdr:cNvPicPr>
      </xdr:nvPicPr>
      <xdr:blipFill>
        <a:blip r:embed="rId270"/>
        <a:stretch>
          <a:fillRect/>
        </a:stretch>
      </xdr:blipFill>
      <xdr:spPr>
        <a:xfrm>
          <a:off x="12837795" y="108182410"/>
          <a:ext cx="12801600" cy="3114675"/>
        </a:xfrm>
        <a:prstGeom prst="rect">
          <a:avLst/>
        </a:prstGeom>
        <a:noFill/>
        <a:ln w="9525">
          <a:noFill/>
        </a:ln>
      </xdr:spPr>
    </xdr:pic>
  </etc:cellImage>
  <etc:cellImage>
    <xdr:pic>
      <xdr:nvPicPr>
        <xdr:cNvPr id="667" name="ID_18FE5551D02744B2B05264F187FA7B5A"/>
        <xdr:cNvPicPr>
          <a:picLocks noChangeAspect="1"/>
        </xdr:cNvPicPr>
      </xdr:nvPicPr>
      <xdr:blipFill>
        <a:blip r:embed="rId271"/>
        <a:stretch>
          <a:fillRect/>
        </a:stretch>
      </xdr:blipFill>
      <xdr:spPr>
        <a:xfrm>
          <a:off x="12837795" y="166150290"/>
          <a:ext cx="11563350" cy="3076575"/>
        </a:xfrm>
        <a:prstGeom prst="rect">
          <a:avLst/>
        </a:prstGeom>
        <a:noFill/>
        <a:ln w="9525">
          <a:noFill/>
        </a:ln>
      </xdr:spPr>
    </xdr:pic>
  </etc:cellImage>
  <etc:cellImage>
    <xdr:pic>
      <xdr:nvPicPr>
        <xdr:cNvPr id="668" name="ID_69342BE5EAE54B50AC7C3F581CCDFD5E"/>
        <xdr:cNvPicPr>
          <a:picLocks noChangeAspect="1"/>
        </xdr:cNvPicPr>
      </xdr:nvPicPr>
      <xdr:blipFill>
        <a:blip r:embed="rId272"/>
        <a:stretch>
          <a:fillRect/>
        </a:stretch>
      </xdr:blipFill>
      <xdr:spPr>
        <a:xfrm>
          <a:off x="12837795" y="168334690"/>
          <a:ext cx="11934825" cy="3248025"/>
        </a:xfrm>
        <a:prstGeom prst="rect">
          <a:avLst/>
        </a:prstGeom>
        <a:noFill/>
        <a:ln w="9525">
          <a:noFill/>
        </a:ln>
      </xdr:spPr>
    </xdr:pic>
  </etc:cellImage>
  <etc:cellImage>
    <xdr:pic>
      <xdr:nvPicPr>
        <xdr:cNvPr id="669" name="ID_1833D7D3198E4370896EDBE90CF81119"/>
        <xdr:cNvPicPr>
          <a:picLocks noChangeAspect="1"/>
        </xdr:cNvPicPr>
      </xdr:nvPicPr>
      <xdr:blipFill>
        <a:blip r:embed="rId273"/>
        <a:stretch>
          <a:fillRect/>
        </a:stretch>
      </xdr:blipFill>
      <xdr:spPr>
        <a:xfrm>
          <a:off x="12837795" y="168003855"/>
          <a:ext cx="11925300" cy="3086100"/>
        </a:xfrm>
        <a:prstGeom prst="rect">
          <a:avLst/>
        </a:prstGeom>
        <a:noFill/>
        <a:ln w="9525">
          <a:noFill/>
        </a:ln>
      </xdr:spPr>
    </xdr:pic>
  </etc:cellImage>
  <etc:cellImage>
    <xdr:pic>
      <xdr:nvPicPr>
        <xdr:cNvPr id="670" name="ID_92D081C532704019B394B84F7BE45BF1"/>
        <xdr:cNvPicPr>
          <a:picLocks noChangeAspect="1"/>
        </xdr:cNvPicPr>
      </xdr:nvPicPr>
      <xdr:blipFill>
        <a:blip r:embed="rId274"/>
        <a:stretch>
          <a:fillRect/>
        </a:stretch>
      </xdr:blipFill>
      <xdr:spPr>
        <a:xfrm>
          <a:off x="12837795" y="169146855"/>
          <a:ext cx="12011025" cy="3048000"/>
        </a:xfrm>
        <a:prstGeom prst="rect">
          <a:avLst/>
        </a:prstGeom>
        <a:noFill/>
        <a:ln w="9525">
          <a:noFill/>
        </a:ln>
      </xdr:spPr>
    </xdr:pic>
  </etc:cellImage>
  <etc:cellImage>
    <xdr:pic>
      <xdr:nvPicPr>
        <xdr:cNvPr id="671" name="ID_F23AC45A27AA44B6BCB5628F30B1CA34"/>
        <xdr:cNvPicPr>
          <a:picLocks noChangeAspect="1"/>
        </xdr:cNvPicPr>
      </xdr:nvPicPr>
      <xdr:blipFill>
        <a:blip r:embed="rId275"/>
        <a:stretch>
          <a:fillRect/>
        </a:stretch>
      </xdr:blipFill>
      <xdr:spPr>
        <a:xfrm>
          <a:off x="12837795" y="169718355"/>
          <a:ext cx="12020550" cy="3105150"/>
        </a:xfrm>
        <a:prstGeom prst="rect">
          <a:avLst/>
        </a:prstGeom>
        <a:noFill/>
        <a:ln w="9525">
          <a:noFill/>
        </a:ln>
      </xdr:spPr>
    </xdr:pic>
  </etc:cellImage>
  <etc:cellImage>
    <xdr:pic>
      <xdr:nvPicPr>
        <xdr:cNvPr id="672" name="ID_D8C2DC025CB94D75B054D74EF9B8A496"/>
        <xdr:cNvPicPr>
          <a:picLocks noChangeAspect="1"/>
        </xdr:cNvPicPr>
      </xdr:nvPicPr>
      <xdr:blipFill>
        <a:blip r:embed="rId276"/>
        <a:stretch>
          <a:fillRect/>
        </a:stretch>
      </xdr:blipFill>
      <xdr:spPr>
        <a:xfrm>
          <a:off x="12837795" y="170480355"/>
          <a:ext cx="12077700" cy="3190875"/>
        </a:xfrm>
        <a:prstGeom prst="rect">
          <a:avLst/>
        </a:prstGeom>
        <a:noFill/>
        <a:ln w="9525">
          <a:noFill/>
        </a:ln>
      </xdr:spPr>
    </xdr:pic>
  </etc:cellImage>
  <etc:cellImage>
    <xdr:pic>
      <xdr:nvPicPr>
        <xdr:cNvPr id="673" name="ID_AC85D0BC9CED44CA9ACFBB26BD9E496C"/>
        <xdr:cNvPicPr>
          <a:picLocks noChangeAspect="1"/>
        </xdr:cNvPicPr>
      </xdr:nvPicPr>
      <xdr:blipFill>
        <a:blip r:embed="rId277"/>
        <a:stretch>
          <a:fillRect/>
        </a:stretch>
      </xdr:blipFill>
      <xdr:spPr>
        <a:xfrm>
          <a:off x="12837795" y="179203350"/>
          <a:ext cx="11563350" cy="3152775"/>
        </a:xfrm>
        <a:prstGeom prst="rect">
          <a:avLst/>
        </a:prstGeom>
        <a:noFill/>
        <a:ln w="9525">
          <a:noFill/>
        </a:ln>
      </xdr:spPr>
    </xdr:pic>
  </etc:cellImage>
  <etc:cellImage>
    <xdr:pic>
      <xdr:nvPicPr>
        <xdr:cNvPr id="674" name="ID_CD9BDC45BF3A4405A7A94D0FD70E43A3"/>
        <xdr:cNvPicPr>
          <a:picLocks noChangeAspect="1"/>
        </xdr:cNvPicPr>
      </xdr:nvPicPr>
      <xdr:blipFill>
        <a:blip r:embed="rId278"/>
        <a:stretch>
          <a:fillRect/>
        </a:stretch>
      </xdr:blipFill>
      <xdr:spPr>
        <a:xfrm>
          <a:off x="12837795" y="179134135"/>
          <a:ext cx="11544300" cy="4200525"/>
        </a:xfrm>
        <a:prstGeom prst="rect">
          <a:avLst/>
        </a:prstGeom>
        <a:noFill/>
        <a:ln w="9525">
          <a:noFill/>
        </a:ln>
      </xdr:spPr>
    </xdr:pic>
  </etc:cellImage>
  <etc:cellImage>
    <xdr:pic>
      <xdr:nvPicPr>
        <xdr:cNvPr id="675" name="ID_CE70FAD7E7AC4E22A8ACE0E176ABFFA3"/>
        <xdr:cNvPicPr>
          <a:picLocks noChangeAspect="1"/>
        </xdr:cNvPicPr>
      </xdr:nvPicPr>
      <xdr:blipFill>
        <a:blip r:embed="rId279"/>
        <a:stretch>
          <a:fillRect/>
        </a:stretch>
      </xdr:blipFill>
      <xdr:spPr>
        <a:xfrm>
          <a:off x="12837795" y="180277135"/>
          <a:ext cx="11744325" cy="3190875"/>
        </a:xfrm>
        <a:prstGeom prst="rect">
          <a:avLst/>
        </a:prstGeom>
        <a:noFill/>
        <a:ln w="9525">
          <a:noFill/>
        </a:ln>
      </xdr:spPr>
    </xdr:pic>
  </etc:cellImage>
  <etc:cellImage>
    <xdr:pic>
      <xdr:nvPicPr>
        <xdr:cNvPr id="676" name="ID_40EAAD76E6CB447D99DA3A475EDF3D22"/>
        <xdr:cNvPicPr>
          <a:picLocks noChangeAspect="1"/>
        </xdr:cNvPicPr>
      </xdr:nvPicPr>
      <xdr:blipFill>
        <a:blip r:embed="rId280"/>
        <a:stretch>
          <a:fillRect/>
        </a:stretch>
      </xdr:blipFill>
      <xdr:spPr>
        <a:xfrm>
          <a:off x="12837795" y="215313260"/>
          <a:ext cx="11487150" cy="2990850"/>
        </a:xfrm>
        <a:prstGeom prst="rect">
          <a:avLst/>
        </a:prstGeom>
        <a:noFill/>
        <a:ln w="9525">
          <a:noFill/>
        </a:ln>
      </xdr:spPr>
    </xdr:pic>
  </etc:cellImage>
  <etc:cellImage>
    <xdr:pic>
      <xdr:nvPicPr>
        <xdr:cNvPr id="677" name="ID_AAEF28DC40B741F988419A5C605E013C"/>
        <xdr:cNvPicPr>
          <a:picLocks noChangeAspect="1"/>
        </xdr:cNvPicPr>
      </xdr:nvPicPr>
      <xdr:blipFill>
        <a:blip r:embed="rId281"/>
        <a:stretch>
          <a:fillRect/>
        </a:stretch>
      </xdr:blipFill>
      <xdr:spPr>
        <a:xfrm>
          <a:off x="12837795" y="216632155"/>
          <a:ext cx="11506200" cy="3048000"/>
        </a:xfrm>
        <a:prstGeom prst="rect">
          <a:avLst/>
        </a:prstGeom>
        <a:noFill/>
        <a:ln w="9525">
          <a:noFill/>
        </a:ln>
      </xdr:spPr>
    </xdr:pic>
  </etc:cellImage>
  <etc:cellImage>
    <xdr:pic>
      <xdr:nvPicPr>
        <xdr:cNvPr id="678" name="ID_3862BA2028D14D8E86508667C999AB79"/>
        <xdr:cNvPicPr>
          <a:picLocks noChangeAspect="1"/>
        </xdr:cNvPicPr>
      </xdr:nvPicPr>
      <xdr:blipFill>
        <a:blip r:embed="rId282"/>
        <a:stretch>
          <a:fillRect/>
        </a:stretch>
      </xdr:blipFill>
      <xdr:spPr>
        <a:xfrm>
          <a:off x="12837795" y="218914345"/>
          <a:ext cx="11477625" cy="3048000"/>
        </a:xfrm>
        <a:prstGeom prst="rect">
          <a:avLst/>
        </a:prstGeom>
        <a:noFill/>
        <a:ln w="9525">
          <a:noFill/>
        </a:ln>
      </xdr:spPr>
    </xdr:pic>
  </etc:cellImage>
  <etc:cellImage>
    <xdr:pic>
      <xdr:nvPicPr>
        <xdr:cNvPr id="679" name="ID_925407004A5140E5B3C670CA96293765"/>
        <xdr:cNvPicPr>
          <a:picLocks noChangeAspect="1"/>
        </xdr:cNvPicPr>
      </xdr:nvPicPr>
      <xdr:blipFill>
        <a:blip r:embed="rId283"/>
        <a:stretch>
          <a:fillRect/>
        </a:stretch>
      </xdr:blipFill>
      <xdr:spPr>
        <a:xfrm>
          <a:off x="12837795" y="222909130"/>
          <a:ext cx="11506200" cy="3067050"/>
        </a:xfrm>
        <a:prstGeom prst="rect">
          <a:avLst/>
        </a:prstGeom>
        <a:noFill/>
        <a:ln w="9525">
          <a:noFill/>
        </a:ln>
      </xdr:spPr>
    </xdr:pic>
  </etc:cellImage>
  <etc:cellImage>
    <xdr:pic>
      <xdr:nvPicPr>
        <xdr:cNvPr id="680" name="ID_359253887FB64D3BA5453B159E0D9D67"/>
        <xdr:cNvPicPr>
          <a:picLocks noChangeAspect="1"/>
        </xdr:cNvPicPr>
      </xdr:nvPicPr>
      <xdr:blipFill>
        <a:blip r:embed="rId284"/>
        <a:stretch>
          <a:fillRect/>
        </a:stretch>
      </xdr:blipFill>
      <xdr:spPr>
        <a:xfrm>
          <a:off x="12837795" y="246361585"/>
          <a:ext cx="12858750" cy="3019425"/>
        </a:xfrm>
        <a:prstGeom prst="rect">
          <a:avLst/>
        </a:prstGeom>
        <a:noFill/>
        <a:ln w="9525">
          <a:noFill/>
        </a:ln>
      </xdr:spPr>
    </xdr:pic>
  </etc:cellImage>
  <etc:cellImage>
    <xdr:pic>
      <xdr:nvPicPr>
        <xdr:cNvPr id="681" name="ID_EC127A875A64460198AE419FCEE84D01"/>
        <xdr:cNvPicPr>
          <a:picLocks noChangeAspect="1"/>
        </xdr:cNvPicPr>
      </xdr:nvPicPr>
      <xdr:blipFill>
        <a:blip r:embed="rId285"/>
        <a:stretch>
          <a:fillRect/>
        </a:stretch>
      </xdr:blipFill>
      <xdr:spPr>
        <a:xfrm>
          <a:off x="12837795" y="261046595"/>
          <a:ext cx="11763375" cy="3105150"/>
        </a:xfrm>
        <a:prstGeom prst="rect">
          <a:avLst/>
        </a:prstGeom>
        <a:noFill/>
        <a:ln w="9525">
          <a:noFill/>
        </a:ln>
      </xdr:spPr>
    </xdr:pic>
  </etc:cellImage>
  <etc:cellImage>
    <xdr:pic>
      <xdr:nvPicPr>
        <xdr:cNvPr id="682" name="ID_966CA3F5A60B44BEB250943E490C3894"/>
        <xdr:cNvPicPr>
          <a:picLocks noChangeAspect="1"/>
        </xdr:cNvPicPr>
      </xdr:nvPicPr>
      <xdr:blipFill>
        <a:blip r:embed="rId286"/>
        <a:stretch>
          <a:fillRect/>
        </a:stretch>
      </xdr:blipFill>
      <xdr:spPr>
        <a:xfrm>
          <a:off x="12837795" y="275012785"/>
          <a:ext cx="12087225" cy="3133725"/>
        </a:xfrm>
        <a:prstGeom prst="rect">
          <a:avLst/>
        </a:prstGeom>
        <a:noFill/>
        <a:ln w="9525">
          <a:noFill/>
        </a:ln>
      </xdr:spPr>
    </xdr:pic>
  </etc:cellImage>
  <etc:cellImage>
    <xdr:pic>
      <xdr:nvPicPr>
        <xdr:cNvPr id="683" name="ID_37DA339FE63D42BCA9BFEA6F49D76710"/>
        <xdr:cNvPicPr>
          <a:picLocks noChangeAspect="1"/>
        </xdr:cNvPicPr>
      </xdr:nvPicPr>
      <xdr:blipFill>
        <a:blip r:embed="rId287"/>
        <a:stretch>
          <a:fillRect/>
        </a:stretch>
      </xdr:blipFill>
      <xdr:spPr>
        <a:xfrm>
          <a:off x="12837795" y="275352510"/>
          <a:ext cx="11477625" cy="3057525"/>
        </a:xfrm>
        <a:prstGeom prst="rect">
          <a:avLst/>
        </a:prstGeom>
        <a:noFill/>
        <a:ln w="9525">
          <a:noFill/>
        </a:ln>
      </xdr:spPr>
    </xdr:pic>
  </etc:cellImage>
  <etc:cellImage>
    <xdr:pic>
      <xdr:nvPicPr>
        <xdr:cNvPr id="684" name="ID_47B5E14623C74538A209AC326B929115"/>
        <xdr:cNvPicPr>
          <a:picLocks noChangeAspect="1"/>
        </xdr:cNvPicPr>
      </xdr:nvPicPr>
      <xdr:blipFill>
        <a:blip r:embed="rId288"/>
        <a:stretch>
          <a:fillRect/>
        </a:stretch>
      </xdr:blipFill>
      <xdr:spPr>
        <a:xfrm>
          <a:off x="12837795" y="276114510"/>
          <a:ext cx="11591925" cy="3124200"/>
        </a:xfrm>
        <a:prstGeom prst="rect">
          <a:avLst/>
        </a:prstGeom>
        <a:noFill/>
        <a:ln w="9525">
          <a:noFill/>
        </a:ln>
      </xdr:spPr>
    </xdr:pic>
  </etc:cellImage>
  <etc:cellImage>
    <xdr:pic>
      <xdr:nvPicPr>
        <xdr:cNvPr id="685" name="ID_F1CC001D90C8483EBBA48BC11C174A78"/>
        <xdr:cNvPicPr>
          <a:picLocks noChangeAspect="1"/>
        </xdr:cNvPicPr>
      </xdr:nvPicPr>
      <xdr:blipFill>
        <a:blip r:embed="rId289"/>
        <a:stretch>
          <a:fillRect/>
        </a:stretch>
      </xdr:blipFill>
      <xdr:spPr>
        <a:xfrm>
          <a:off x="12837795" y="276876510"/>
          <a:ext cx="11639550" cy="2343150"/>
        </a:xfrm>
        <a:prstGeom prst="rect">
          <a:avLst/>
        </a:prstGeom>
        <a:noFill/>
        <a:ln w="9525">
          <a:noFill/>
        </a:ln>
      </xdr:spPr>
    </xdr:pic>
  </etc:cellImage>
  <etc:cellImage>
    <xdr:pic>
      <xdr:nvPicPr>
        <xdr:cNvPr id="686" name="ID_8A463D2C7B174C95A25F97A37F2DAA34"/>
        <xdr:cNvPicPr>
          <a:picLocks noChangeAspect="1"/>
        </xdr:cNvPicPr>
      </xdr:nvPicPr>
      <xdr:blipFill>
        <a:blip r:embed="rId290"/>
        <a:stretch>
          <a:fillRect/>
        </a:stretch>
      </xdr:blipFill>
      <xdr:spPr>
        <a:xfrm>
          <a:off x="12837795" y="280115010"/>
          <a:ext cx="11668125" cy="3305175"/>
        </a:xfrm>
        <a:prstGeom prst="rect">
          <a:avLst/>
        </a:prstGeom>
        <a:noFill/>
        <a:ln w="9525">
          <a:noFill/>
        </a:ln>
      </xdr:spPr>
    </xdr:pic>
  </etc:cellImage>
  <etc:cellImage>
    <xdr:pic>
      <xdr:nvPicPr>
        <xdr:cNvPr id="687" name="ID_3B5693C91B6146ED9CF2BFD948C51F9E"/>
        <xdr:cNvPicPr>
          <a:picLocks noChangeAspect="1"/>
        </xdr:cNvPicPr>
      </xdr:nvPicPr>
      <xdr:blipFill>
        <a:blip r:embed="rId291"/>
        <a:stretch>
          <a:fillRect/>
        </a:stretch>
      </xdr:blipFill>
      <xdr:spPr>
        <a:xfrm>
          <a:off x="12837795" y="279543510"/>
          <a:ext cx="11582400" cy="3228975"/>
        </a:xfrm>
        <a:prstGeom prst="rect">
          <a:avLst/>
        </a:prstGeom>
        <a:noFill/>
        <a:ln w="9525">
          <a:noFill/>
        </a:ln>
      </xdr:spPr>
    </xdr:pic>
  </etc:cellImage>
  <etc:cellImage>
    <xdr:pic>
      <xdr:nvPicPr>
        <xdr:cNvPr id="688" name="ID_14F350BE16B341E3BFE3CA2007F5CFA0"/>
        <xdr:cNvPicPr>
          <a:picLocks noChangeAspect="1"/>
        </xdr:cNvPicPr>
      </xdr:nvPicPr>
      <xdr:blipFill>
        <a:blip r:embed="rId292"/>
        <a:stretch>
          <a:fillRect/>
        </a:stretch>
      </xdr:blipFill>
      <xdr:spPr>
        <a:xfrm>
          <a:off x="12837795" y="278781510"/>
          <a:ext cx="11572875" cy="3190875"/>
        </a:xfrm>
        <a:prstGeom prst="rect">
          <a:avLst/>
        </a:prstGeom>
        <a:noFill/>
        <a:ln w="9525">
          <a:noFill/>
        </a:ln>
      </xdr:spPr>
    </xdr:pic>
  </etc:cellImage>
  <etc:cellImage>
    <xdr:pic>
      <xdr:nvPicPr>
        <xdr:cNvPr id="689" name="ID_7061120B231447EBA4DEE1D915E6B719"/>
        <xdr:cNvPicPr>
          <a:picLocks noChangeAspect="1"/>
        </xdr:cNvPicPr>
      </xdr:nvPicPr>
      <xdr:blipFill>
        <a:blip r:embed="rId293"/>
        <a:stretch>
          <a:fillRect/>
        </a:stretch>
      </xdr:blipFill>
      <xdr:spPr>
        <a:xfrm>
          <a:off x="12837795" y="278019510"/>
          <a:ext cx="11077575" cy="3076575"/>
        </a:xfrm>
        <a:prstGeom prst="rect">
          <a:avLst/>
        </a:prstGeom>
        <a:noFill/>
        <a:ln w="9525">
          <a:noFill/>
        </a:ln>
      </xdr:spPr>
    </xdr:pic>
  </etc:cellImage>
  <etc:cellImage>
    <xdr:pic>
      <xdr:nvPicPr>
        <xdr:cNvPr id="690" name="ID_3FE33215DA734C0A80AB463C4295AD9B"/>
        <xdr:cNvPicPr>
          <a:picLocks noChangeAspect="1"/>
        </xdr:cNvPicPr>
      </xdr:nvPicPr>
      <xdr:blipFill>
        <a:blip r:embed="rId294"/>
        <a:stretch>
          <a:fillRect/>
        </a:stretch>
      </xdr:blipFill>
      <xdr:spPr>
        <a:xfrm>
          <a:off x="12837795" y="280686510"/>
          <a:ext cx="11572875" cy="3095625"/>
        </a:xfrm>
        <a:prstGeom prst="rect">
          <a:avLst/>
        </a:prstGeom>
        <a:noFill/>
        <a:ln w="9525">
          <a:noFill/>
        </a:ln>
      </xdr:spPr>
    </xdr:pic>
  </etc:cellImage>
  <etc:cellImage>
    <xdr:pic>
      <xdr:nvPicPr>
        <xdr:cNvPr id="691" name="ID_0C9D1217CE4D4639B51311307B392418"/>
        <xdr:cNvPicPr>
          <a:picLocks noChangeAspect="1"/>
        </xdr:cNvPicPr>
      </xdr:nvPicPr>
      <xdr:blipFill>
        <a:blip r:embed="rId295"/>
        <a:stretch>
          <a:fillRect/>
        </a:stretch>
      </xdr:blipFill>
      <xdr:spPr>
        <a:xfrm>
          <a:off x="12837795" y="281448510"/>
          <a:ext cx="11134725" cy="2990850"/>
        </a:xfrm>
        <a:prstGeom prst="rect">
          <a:avLst/>
        </a:prstGeom>
        <a:noFill/>
        <a:ln w="9525">
          <a:noFill/>
        </a:ln>
      </xdr:spPr>
    </xdr:pic>
  </etc:cellImage>
  <etc:cellImage>
    <xdr:pic>
      <xdr:nvPicPr>
        <xdr:cNvPr id="692" name="ID_E6637767CE6E4DEBB307D4D490023B94"/>
        <xdr:cNvPicPr>
          <a:picLocks noChangeAspect="1"/>
        </xdr:cNvPicPr>
      </xdr:nvPicPr>
      <xdr:blipFill>
        <a:blip r:embed="rId296"/>
        <a:stretch>
          <a:fillRect/>
        </a:stretch>
      </xdr:blipFill>
      <xdr:spPr>
        <a:xfrm>
          <a:off x="12837795" y="282020010"/>
          <a:ext cx="10696575" cy="2981325"/>
        </a:xfrm>
        <a:prstGeom prst="rect">
          <a:avLst/>
        </a:prstGeom>
        <a:noFill/>
        <a:ln w="9525">
          <a:noFill/>
        </a:ln>
      </xdr:spPr>
    </xdr:pic>
  </etc:cellImage>
  <etc:cellImage>
    <xdr:pic>
      <xdr:nvPicPr>
        <xdr:cNvPr id="693" name="ID_DABFE74E7C24461A857538E26EE7CB70"/>
        <xdr:cNvPicPr>
          <a:picLocks noChangeAspect="1"/>
        </xdr:cNvPicPr>
      </xdr:nvPicPr>
      <xdr:blipFill>
        <a:blip r:embed="rId297"/>
        <a:stretch>
          <a:fillRect/>
        </a:stretch>
      </xdr:blipFill>
      <xdr:spPr>
        <a:xfrm>
          <a:off x="12837795" y="282591510"/>
          <a:ext cx="10753725" cy="3209925"/>
        </a:xfrm>
        <a:prstGeom prst="rect">
          <a:avLst/>
        </a:prstGeom>
        <a:noFill/>
        <a:ln w="9525">
          <a:noFill/>
        </a:ln>
      </xdr:spPr>
    </xdr:pic>
  </etc:cellImage>
  <etc:cellImage>
    <xdr:pic>
      <xdr:nvPicPr>
        <xdr:cNvPr id="694" name="ID_E5C46C770C6A4434AD0378A59BC39BDB"/>
        <xdr:cNvPicPr>
          <a:picLocks noChangeAspect="1"/>
        </xdr:cNvPicPr>
      </xdr:nvPicPr>
      <xdr:blipFill>
        <a:blip r:embed="rId298"/>
        <a:stretch>
          <a:fillRect/>
        </a:stretch>
      </xdr:blipFill>
      <xdr:spPr>
        <a:xfrm>
          <a:off x="12837795" y="283163010"/>
          <a:ext cx="10868025" cy="3248025"/>
        </a:xfrm>
        <a:prstGeom prst="rect">
          <a:avLst/>
        </a:prstGeom>
        <a:noFill/>
        <a:ln w="9525">
          <a:noFill/>
        </a:ln>
      </xdr:spPr>
    </xdr:pic>
  </etc:cellImage>
  <etc:cellImage>
    <xdr:pic>
      <xdr:nvPicPr>
        <xdr:cNvPr id="695" name="ID_BE73191C80C74120A76DB73F367C27AA"/>
        <xdr:cNvPicPr>
          <a:picLocks noChangeAspect="1"/>
        </xdr:cNvPicPr>
      </xdr:nvPicPr>
      <xdr:blipFill>
        <a:blip r:embed="rId299"/>
        <a:stretch>
          <a:fillRect/>
        </a:stretch>
      </xdr:blipFill>
      <xdr:spPr>
        <a:xfrm>
          <a:off x="12837795" y="283734510"/>
          <a:ext cx="10687050" cy="3095625"/>
        </a:xfrm>
        <a:prstGeom prst="rect">
          <a:avLst/>
        </a:prstGeom>
        <a:noFill/>
        <a:ln w="9525">
          <a:noFill/>
        </a:ln>
      </xdr:spPr>
    </xdr:pic>
  </etc:cellImage>
  <etc:cellImage>
    <xdr:pic>
      <xdr:nvPicPr>
        <xdr:cNvPr id="696" name="ID_8E41760F66C042A9A834FA64217431C6"/>
        <xdr:cNvPicPr>
          <a:picLocks noChangeAspect="1"/>
        </xdr:cNvPicPr>
      </xdr:nvPicPr>
      <xdr:blipFill>
        <a:blip r:embed="rId300"/>
        <a:stretch>
          <a:fillRect/>
        </a:stretch>
      </xdr:blipFill>
      <xdr:spPr>
        <a:xfrm>
          <a:off x="12837795" y="284306010"/>
          <a:ext cx="11134725" cy="3133725"/>
        </a:xfrm>
        <a:prstGeom prst="rect">
          <a:avLst/>
        </a:prstGeom>
        <a:noFill/>
        <a:ln w="9525">
          <a:noFill/>
        </a:ln>
      </xdr:spPr>
    </xdr:pic>
  </etc:cellImage>
  <etc:cellImage>
    <xdr:pic>
      <xdr:nvPicPr>
        <xdr:cNvPr id="697" name="ID_12EB44FE525A4705B375991F1DBB49B2"/>
        <xdr:cNvPicPr>
          <a:picLocks noChangeAspect="1"/>
        </xdr:cNvPicPr>
      </xdr:nvPicPr>
      <xdr:blipFill>
        <a:blip r:embed="rId301"/>
        <a:stretch>
          <a:fillRect/>
        </a:stretch>
      </xdr:blipFill>
      <xdr:spPr>
        <a:xfrm>
          <a:off x="12837795" y="284877510"/>
          <a:ext cx="11172825" cy="3295650"/>
        </a:xfrm>
        <a:prstGeom prst="rect">
          <a:avLst/>
        </a:prstGeom>
        <a:noFill/>
        <a:ln w="9525">
          <a:noFill/>
        </a:ln>
      </xdr:spPr>
    </xdr:pic>
  </etc:cellImage>
  <etc:cellImage>
    <xdr:pic>
      <xdr:nvPicPr>
        <xdr:cNvPr id="698" name="ID_ACE8E45A5C2E408CBAE160AC2C50D20F"/>
        <xdr:cNvPicPr>
          <a:picLocks noChangeAspect="1"/>
        </xdr:cNvPicPr>
      </xdr:nvPicPr>
      <xdr:blipFill>
        <a:blip r:embed="rId302"/>
        <a:stretch>
          <a:fillRect/>
        </a:stretch>
      </xdr:blipFill>
      <xdr:spPr>
        <a:xfrm>
          <a:off x="12837795" y="285449010"/>
          <a:ext cx="10601325" cy="3048000"/>
        </a:xfrm>
        <a:prstGeom prst="rect">
          <a:avLst/>
        </a:prstGeom>
        <a:noFill/>
        <a:ln w="9525">
          <a:noFill/>
        </a:ln>
      </xdr:spPr>
    </xdr:pic>
  </etc:cellImage>
  <etc:cellImage>
    <xdr:pic>
      <xdr:nvPicPr>
        <xdr:cNvPr id="699" name="ID_CCEC1A4FCAFF401FAC4F855AA0AB5D43"/>
        <xdr:cNvPicPr>
          <a:picLocks noChangeAspect="1"/>
        </xdr:cNvPicPr>
      </xdr:nvPicPr>
      <xdr:blipFill>
        <a:blip r:embed="rId303"/>
        <a:stretch>
          <a:fillRect/>
        </a:stretch>
      </xdr:blipFill>
      <xdr:spPr>
        <a:xfrm>
          <a:off x="12837795" y="286020510"/>
          <a:ext cx="10668000" cy="3028950"/>
        </a:xfrm>
        <a:prstGeom prst="rect">
          <a:avLst/>
        </a:prstGeom>
        <a:noFill/>
        <a:ln w="9525">
          <a:noFill/>
        </a:ln>
      </xdr:spPr>
    </xdr:pic>
  </etc:cellImage>
  <etc:cellImage>
    <xdr:pic>
      <xdr:nvPicPr>
        <xdr:cNvPr id="700" name="ID_FDE982E89A6E4E558B5E2745BCC347C6"/>
        <xdr:cNvPicPr>
          <a:picLocks noChangeAspect="1"/>
        </xdr:cNvPicPr>
      </xdr:nvPicPr>
      <xdr:blipFill>
        <a:blip r:embed="rId304"/>
        <a:stretch>
          <a:fillRect/>
        </a:stretch>
      </xdr:blipFill>
      <xdr:spPr>
        <a:xfrm>
          <a:off x="12837795" y="286782510"/>
          <a:ext cx="10810875" cy="1485900"/>
        </a:xfrm>
        <a:prstGeom prst="rect">
          <a:avLst/>
        </a:prstGeom>
        <a:noFill/>
        <a:ln w="9525">
          <a:noFill/>
        </a:ln>
      </xdr:spPr>
    </xdr:pic>
  </etc:cellImage>
  <etc:cellImage>
    <xdr:pic>
      <xdr:nvPicPr>
        <xdr:cNvPr id="701" name="ID_F81BA1F9629B474AB2266483BBF90EF3"/>
        <xdr:cNvPicPr>
          <a:picLocks noChangeAspect="1"/>
        </xdr:cNvPicPr>
      </xdr:nvPicPr>
      <xdr:blipFill>
        <a:blip r:embed="rId305"/>
        <a:stretch>
          <a:fillRect/>
        </a:stretch>
      </xdr:blipFill>
      <xdr:spPr>
        <a:xfrm>
          <a:off x="12837795" y="287735010"/>
          <a:ext cx="10420350" cy="3133725"/>
        </a:xfrm>
        <a:prstGeom prst="rect">
          <a:avLst/>
        </a:prstGeom>
        <a:noFill/>
        <a:ln w="9525">
          <a:noFill/>
        </a:ln>
      </xdr:spPr>
    </xdr:pic>
  </etc:cellImage>
  <etc:cellImage>
    <xdr:pic>
      <xdr:nvPicPr>
        <xdr:cNvPr id="702" name="ID_2D1B16361218421484F08E2CDBBF9476"/>
        <xdr:cNvPicPr>
          <a:picLocks noChangeAspect="1"/>
        </xdr:cNvPicPr>
      </xdr:nvPicPr>
      <xdr:blipFill>
        <a:blip r:embed="rId306"/>
        <a:stretch>
          <a:fillRect/>
        </a:stretch>
      </xdr:blipFill>
      <xdr:spPr>
        <a:xfrm>
          <a:off x="12837795" y="288306510"/>
          <a:ext cx="10439400" cy="3200400"/>
        </a:xfrm>
        <a:prstGeom prst="rect">
          <a:avLst/>
        </a:prstGeom>
        <a:noFill/>
        <a:ln w="9525">
          <a:noFill/>
        </a:ln>
      </xdr:spPr>
    </xdr:pic>
  </etc:cellImage>
  <etc:cellImage>
    <xdr:pic>
      <xdr:nvPicPr>
        <xdr:cNvPr id="703" name="ID_A90096CEB357487A9F9616BF38D77840"/>
        <xdr:cNvPicPr>
          <a:picLocks noChangeAspect="1"/>
        </xdr:cNvPicPr>
      </xdr:nvPicPr>
      <xdr:blipFill>
        <a:blip r:embed="rId307"/>
        <a:stretch>
          <a:fillRect/>
        </a:stretch>
      </xdr:blipFill>
      <xdr:spPr>
        <a:xfrm>
          <a:off x="12837795" y="289068510"/>
          <a:ext cx="10334625" cy="3086100"/>
        </a:xfrm>
        <a:prstGeom prst="rect">
          <a:avLst/>
        </a:prstGeom>
        <a:noFill/>
        <a:ln w="9525">
          <a:noFill/>
        </a:ln>
      </xdr:spPr>
    </xdr:pic>
  </etc:cellImage>
  <etc:cellImage>
    <xdr:pic>
      <xdr:nvPicPr>
        <xdr:cNvPr id="704" name="ID_5E01A176F04E48A79539AA55F5A624C0"/>
        <xdr:cNvPicPr>
          <a:picLocks noChangeAspect="1"/>
        </xdr:cNvPicPr>
      </xdr:nvPicPr>
      <xdr:blipFill>
        <a:blip r:embed="rId308"/>
        <a:stretch>
          <a:fillRect/>
        </a:stretch>
      </xdr:blipFill>
      <xdr:spPr>
        <a:xfrm>
          <a:off x="12837795" y="289830510"/>
          <a:ext cx="10467975" cy="1781175"/>
        </a:xfrm>
        <a:prstGeom prst="rect">
          <a:avLst/>
        </a:prstGeom>
        <a:noFill/>
        <a:ln w="9525">
          <a:noFill/>
        </a:ln>
      </xdr:spPr>
    </xdr:pic>
  </etc:cellImage>
  <etc:cellImage>
    <xdr:pic>
      <xdr:nvPicPr>
        <xdr:cNvPr id="705" name="ID_0DBCE16867A04815AAB59538705E8D20"/>
        <xdr:cNvPicPr>
          <a:picLocks noChangeAspect="1"/>
        </xdr:cNvPicPr>
      </xdr:nvPicPr>
      <xdr:blipFill>
        <a:blip r:embed="rId309"/>
        <a:stretch>
          <a:fillRect/>
        </a:stretch>
      </xdr:blipFill>
      <xdr:spPr>
        <a:xfrm>
          <a:off x="12837795" y="291545010"/>
          <a:ext cx="10363200" cy="1371600"/>
        </a:xfrm>
        <a:prstGeom prst="rect">
          <a:avLst/>
        </a:prstGeom>
        <a:noFill/>
        <a:ln w="9525">
          <a:noFill/>
        </a:ln>
      </xdr:spPr>
    </xdr:pic>
  </etc:cellImage>
  <etc:cellImage>
    <xdr:pic>
      <xdr:nvPicPr>
        <xdr:cNvPr id="707" name="ID_6D769586D49445EABC08214CF2A250F6"/>
        <xdr:cNvPicPr>
          <a:picLocks noChangeAspect="1"/>
        </xdr:cNvPicPr>
      </xdr:nvPicPr>
      <xdr:blipFill>
        <a:blip r:embed="rId310"/>
        <a:stretch>
          <a:fillRect/>
        </a:stretch>
      </xdr:blipFill>
      <xdr:spPr>
        <a:xfrm>
          <a:off x="12969240" y="293497635"/>
          <a:ext cx="10334625" cy="1657350"/>
        </a:xfrm>
        <a:prstGeom prst="rect">
          <a:avLst/>
        </a:prstGeom>
        <a:noFill/>
        <a:ln w="9525">
          <a:noFill/>
        </a:ln>
      </xdr:spPr>
    </xdr:pic>
  </etc:cellImage>
  <etc:cellImage>
    <xdr:pic>
      <xdr:nvPicPr>
        <xdr:cNvPr id="708" name="ID_84CF186DFB994A5594AA3526FEBABA99"/>
        <xdr:cNvPicPr>
          <a:picLocks noChangeAspect="1"/>
        </xdr:cNvPicPr>
      </xdr:nvPicPr>
      <xdr:blipFill>
        <a:blip r:embed="rId311"/>
        <a:stretch>
          <a:fillRect/>
        </a:stretch>
      </xdr:blipFill>
      <xdr:spPr>
        <a:xfrm>
          <a:off x="12837795" y="295736010"/>
          <a:ext cx="10353675" cy="1562100"/>
        </a:xfrm>
        <a:prstGeom prst="rect">
          <a:avLst/>
        </a:prstGeom>
        <a:noFill/>
        <a:ln w="9525">
          <a:noFill/>
        </a:ln>
      </xdr:spPr>
    </xdr:pic>
  </etc:cellImage>
  <etc:cellImage>
    <xdr:pic>
      <xdr:nvPicPr>
        <xdr:cNvPr id="709" name="ID_2C9B56A7D8F14B5F950DAD09580799A1"/>
        <xdr:cNvPicPr>
          <a:picLocks noChangeAspect="1"/>
        </xdr:cNvPicPr>
      </xdr:nvPicPr>
      <xdr:blipFill>
        <a:blip r:embed="rId312"/>
        <a:stretch>
          <a:fillRect/>
        </a:stretch>
      </xdr:blipFill>
      <xdr:spPr>
        <a:xfrm>
          <a:off x="12837795" y="297831510"/>
          <a:ext cx="10267950" cy="2657475"/>
        </a:xfrm>
        <a:prstGeom prst="rect">
          <a:avLst/>
        </a:prstGeom>
        <a:noFill/>
        <a:ln w="9525">
          <a:noFill/>
        </a:ln>
      </xdr:spPr>
    </xdr:pic>
  </etc:cellImage>
  <etc:cellImage>
    <xdr:pic>
      <xdr:nvPicPr>
        <xdr:cNvPr id="710" name="ID_84FFA6F8A7D54DF3AB96E93495FD7DCB"/>
        <xdr:cNvPicPr>
          <a:picLocks noChangeAspect="1"/>
        </xdr:cNvPicPr>
      </xdr:nvPicPr>
      <xdr:blipFill>
        <a:blip r:embed="rId313"/>
        <a:stretch>
          <a:fillRect/>
        </a:stretch>
      </xdr:blipFill>
      <xdr:spPr>
        <a:xfrm>
          <a:off x="12837795" y="303165510"/>
          <a:ext cx="10325100" cy="1800225"/>
        </a:xfrm>
        <a:prstGeom prst="rect">
          <a:avLst/>
        </a:prstGeom>
        <a:noFill/>
        <a:ln w="9525">
          <a:noFill/>
        </a:ln>
      </xdr:spPr>
    </xdr:pic>
  </etc:cellImage>
  <etc:cellImage>
    <xdr:pic>
      <xdr:nvPicPr>
        <xdr:cNvPr id="711" name="ID_38AC7990EACB49D49DD25FCFA9E18E32"/>
        <xdr:cNvPicPr>
          <a:picLocks noChangeAspect="1"/>
        </xdr:cNvPicPr>
      </xdr:nvPicPr>
      <xdr:blipFill>
        <a:blip r:embed="rId314"/>
        <a:stretch>
          <a:fillRect/>
        </a:stretch>
      </xdr:blipFill>
      <xdr:spPr>
        <a:xfrm>
          <a:off x="12837795" y="301260510"/>
          <a:ext cx="10410825" cy="1895475"/>
        </a:xfrm>
        <a:prstGeom prst="rect">
          <a:avLst/>
        </a:prstGeom>
        <a:noFill/>
        <a:ln w="9525">
          <a:noFill/>
        </a:ln>
      </xdr:spPr>
    </xdr:pic>
  </etc:cellImage>
  <etc:cellImage>
    <xdr:pic>
      <xdr:nvPicPr>
        <xdr:cNvPr id="712" name="ID_6EF2C11E7D4549848034D6C269B1496C"/>
        <xdr:cNvPicPr>
          <a:picLocks noChangeAspect="1"/>
        </xdr:cNvPicPr>
      </xdr:nvPicPr>
      <xdr:blipFill>
        <a:blip r:embed="rId315"/>
        <a:stretch>
          <a:fillRect/>
        </a:stretch>
      </xdr:blipFill>
      <xdr:spPr>
        <a:xfrm>
          <a:off x="22579965" y="186371865"/>
          <a:ext cx="4963160" cy="3987165"/>
        </a:xfrm>
        <a:prstGeom prst="rect">
          <a:avLst/>
        </a:prstGeom>
        <a:noFill/>
        <a:ln w="9525">
          <a:noFill/>
        </a:ln>
      </xdr:spPr>
    </xdr:pic>
  </etc:cellImage>
  <etc:cellImage>
    <xdr:pic>
      <xdr:nvPicPr>
        <xdr:cNvPr id="713" name="ID_3823C852630C45D48F859A7C07C8AA4A"/>
        <xdr:cNvPicPr>
          <a:picLocks noChangeAspect="1"/>
        </xdr:cNvPicPr>
      </xdr:nvPicPr>
      <xdr:blipFill>
        <a:blip r:embed="rId316"/>
        <a:stretch>
          <a:fillRect/>
        </a:stretch>
      </xdr:blipFill>
      <xdr:spPr>
        <a:xfrm>
          <a:off x="26077545" y="186371865"/>
          <a:ext cx="7591425" cy="2800350"/>
        </a:xfrm>
        <a:prstGeom prst="rect">
          <a:avLst/>
        </a:prstGeom>
        <a:noFill/>
        <a:ln w="9525">
          <a:noFill/>
        </a:ln>
      </xdr:spPr>
    </xdr:pic>
  </etc:cellImage>
  <etc:cellImage>
    <xdr:pic>
      <xdr:nvPicPr>
        <xdr:cNvPr id="714" name="ID_EACD59F7526D44A28BD4355429622C52"/>
        <xdr:cNvPicPr>
          <a:picLocks noChangeAspect="1"/>
        </xdr:cNvPicPr>
      </xdr:nvPicPr>
      <xdr:blipFill>
        <a:blip r:embed="rId317"/>
        <a:stretch>
          <a:fillRect/>
        </a:stretch>
      </xdr:blipFill>
      <xdr:spPr>
        <a:xfrm>
          <a:off x="19424650" y="2628900"/>
          <a:ext cx="8839200" cy="2238375"/>
        </a:xfrm>
        <a:prstGeom prst="rect">
          <a:avLst/>
        </a:prstGeom>
        <a:noFill/>
        <a:ln w="9525">
          <a:noFill/>
        </a:ln>
      </xdr:spPr>
    </xdr:pic>
  </etc:cellImage>
  <etc:cellImage>
    <xdr:pic>
      <xdr:nvPicPr>
        <xdr:cNvPr id="715" name="ID_37375C8A8C7243028533EDA682BAD271"/>
        <xdr:cNvPicPr>
          <a:picLocks noChangeAspect="1"/>
        </xdr:cNvPicPr>
      </xdr:nvPicPr>
      <xdr:blipFill>
        <a:blip r:embed="rId318"/>
        <a:stretch>
          <a:fillRect/>
        </a:stretch>
      </xdr:blipFill>
      <xdr:spPr>
        <a:xfrm>
          <a:off x="19424650" y="12268200"/>
          <a:ext cx="8963025" cy="2057400"/>
        </a:xfrm>
        <a:prstGeom prst="rect">
          <a:avLst/>
        </a:prstGeom>
        <a:noFill/>
        <a:ln w="9525">
          <a:noFill/>
        </a:ln>
      </xdr:spPr>
    </xdr:pic>
  </etc:cellImage>
  <etc:cellImage>
    <xdr:pic>
      <xdr:nvPicPr>
        <xdr:cNvPr id="716" name="ID_7A46CB4FD70D48DA99753B117AE7C792"/>
        <xdr:cNvPicPr>
          <a:picLocks noChangeAspect="1"/>
        </xdr:cNvPicPr>
      </xdr:nvPicPr>
      <xdr:blipFill>
        <a:blip r:embed="rId319"/>
        <a:stretch>
          <a:fillRect/>
        </a:stretch>
      </xdr:blipFill>
      <xdr:spPr>
        <a:xfrm>
          <a:off x="19424650" y="1162050"/>
          <a:ext cx="8924925" cy="2914650"/>
        </a:xfrm>
        <a:prstGeom prst="rect">
          <a:avLst/>
        </a:prstGeom>
        <a:noFill/>
        <a:ln w="9525">
          <a:noFill/>
        </a:ln>
      </xdr:spPr>
    </xdr:pic>
  </etc:cellImage>
  <etc:cellImage>
    <xdr:pic>
      <xdr:nvPicPr>
        <xdr:cNvPr id="717" name="ID_7C02909993D8463C8C291730F8A026F3"/>
        <xdr:cNvPicPr>
          <a:picLocks noChangeAspect="1"/>
        </xdr:cNvPicPr>
      </xdr:nvPicPr>
      <xdr:blipFill>
        <a:blip r:embed="rId320"/>
        <a:stretch>
          <a:fillRect/>
        </a:stretch>
      </xdr:blipFill>
      <xdr:spPr>
        <a:xfrm>
          <a:off x="19424650" y="1790700"/>
          <a:ext cx="8905875" cy="2838450"/>
        </a:xfrm>
        <a:prstGeom prst="rect">
          <a:avLst/>
        </a:prstGeom>
        <a:noFill/>
        <a:ln w="9525">
          <a:noFill/>
        </a:ln>
      </xdr:spPr>
    </xdr:pic>
  </etc:cellImage>
  <etc:cellImage>
    <xdr:pic>
      <xdr:nvPicPr>
        <xdr:cNvPr id="718" name="ID_953775F75F6640718C4A594D01CB2E93"/>
        <xdr:cNvPicPr>
          <a:picLocks noChangeAspect="1"/>
        </xdr:cNvPicPr>
      </xdr:nvPicPr>
      <xdr:blipFill>
        <a:blip r:embed="rId321"/>
        <a:stretch>
          <a:fillRect/>
        </a:stretch>
      </xdr:blipFill>
      <xdr:spPr>
        <a:xfrm>
          <a:off x="19424650" y="11220450"/>
          <a:ext cx="8972550" cy="2838450"/>
        </a:xfrm>
        <a:prstGeom prst="rect">
          <a:avLst/>
        </a:prstGeom>
        <a:noFill/>
        <a:ln w="9525">
          <a:noFill/>
        </a:ln>
      </xdr:spPr>
    </xdr:pic>
  </etc:cellImage>
  <etc:cellImage>
    <xdr:pic>
      <xdr:nvPicPr>
        <xdr:cNvPr id="719" name="ID_87A9B8012B814524B0C0108F94662A80"/>
        <xdr:cNvPicPr>
          <a:picLocks noChangeAspect="1"/>
        </xdr:cNvPicPr>
      </xdr:nvPicPr>
      <xdr:blipFill>
        <a:blip r:embed="rId322"/>
        <a:stretch>
          <a:fillRect/>
        </a:stretch>
      </xdr:blipFill>
      <xdr:spPr>
        <a:xfrm>
          <a:off x="19424650" y="2000250"/>
          <a:ext cx="2362200" cy="1714500"/>
        </a:xfrm>
        <a:prstGeom prst="rect">
          <a:avLst/>
        </a:prstGeom>
        <a:noFill/>
        <a:ln w="9525">
          <a:noFill/>
        </a:ln>
      </xdr:spPr>
    </xdr:pic>
  </etc:cellImage>
  <etc:cellImage>
    <xdr:pic>
      <xdr:nvPicPr>
        <xdr:cNvPr id="720" name="ID_29973D3E9C5C4CACA8CCB7BC60C1FDB2"/>
        <xdr:cNvPicPr>
          <a:picLocks noChangeAspect="1"/>
        </xdr:cNvPicPr>
      </xdr:nvPicPr>
      <xdr:blipFill>
        <a:blip r:embed="rId323"/>
        <a:stretch>
          <a:fillRect/>
        </a:stretch>
      </xdr:blipFill>
      <xdr:spPr>
        <a:xfrm>
          <a:off x="19424650" y="13106400"/>
          <a:ext cx="8905875" cy="2276475"/>
        </a:xfrm>
        <a:prstGeom prst="rect">
          <a:avLst/>
        </a:prstGeom>
        <a:noFill/>
        <a:ln w="9525">
          <a:noFill/>
        </a:ln>
      </xdr:spPr>
    </xdr:pic>
  </etc:cellImage>
  <etc:cellImage>
    <xdr:pic>
      <xdr:nvPicPr>
        <xdr:cNvPr id="721" name="ID_9C65ABD256014B218AE9F75A57A54D86"/>
        <xdr:cNvPicPr>
          <a:picLocks noChangeAspect="1"/>
        </xdr:cNvPicPr>
      </xdr:nvPicPr>
      <xdr:blipFill>
        <a:blip r:embed="rId324"/>
        <a:stretch>
          <a:fillRect/>
        </a:stretch>
      </xdr:blipFill>
      <xdr:spPr>
        <a:xfrm>
          <a:off x="19424650" y="3048000"/>
          <a:ext cx="8791575" cy="2219325"/>
        </a:xfrm>
        <a:prstGeom prst="rect">
          <a:avLst/>
        </a:prstGeom>
        <a:noFill/>
        <a:ln w="9525">
          <a:noFill/>
        </a:ln>
      </xdr:spPr>
    </xdr:pic>
  </etc:cellImage>
  <etc:cellImage>
    <xdr:pic>
      <xdr:nvPicPr>
        <xdr:cNvPr id="722" name="ID_5C909FB74AFE448C8DE7F500A1496E9C"/>
        <xdr:cNvPicPr>
          <a:picLocks noChangeAspect="1"/>
        </xdr:cNvPicPr>
      </xdr:nvPicPr>
      <xdr:blipFill>
        <a:blip r:embed="rId325"/>
        <a:stretch>
          <a:fillRect/>
        </a:stretch>
      </xdr:blipFill>
      <xdr:spPr>
        <a:xfrm>
          <a:off x="19424650" y="13944600"/>
          <a:ext cx="9001125" cy="2905125"/>
        </a:xfrm>
        <a:prstGeom prst="rect">
          <a:avLst/>
        </a:prstGeom>
        <a:noFill/>
        <a:ln w="9525">
          <a:noFill/>
        </a:ln>
      </xdr:spPr>
    </xdr:pic>
  </etc:cellImage>
  <etc:cellImage>
    <xdr:pic>
      <xdr:nvPicPr>
        <xdr:cNvPr id="723" name="ID_8DC20D78B5F0411E886FB9E01F987695"/>
        <xdr:cNvPicPr>
          <a:picLocks noChangeAspect="1"/>
        </xdr:cNvPicPr>
      </xdr:nvPicPr>
      <xdr:blipFill>
        <a:blip r:embed="rId326"/>
        <a:stretch>
          <a:fillRect/>
        </a:stretch>
      </xdr:blipFill>
      <xdr:spPr>
        <a:xfrm>
          <a:off x="19424650" y="3886200"/>
          <a:ext cx="8743950" cy="2124075"/>
        </a:xfrm>
        <a:prstGeom prst="rect">
          <a:avLst/>
        </a:prstGeom>
        <a:noFill/>
        <a:ln w="9525">
          <a:noFill/>
        </a:ln>
      </xdr:spPr>
    </xdr:pic>
  </etc:cellImage>
  <etc:cellImage>
    <xdr:pic>
      <xdr:nvPicPr>
        <xdr:cNvPr id="724" name="ID_778DEADE7ADC42E2B2A709B49CF0682C"/>
        <xdr:cNvPicPr>
          <a:picLocks noChangeAspect="1"/>
        </xdr:cNvPicPr>
      </xdr:nvPicPr>
      <xdr:blipFill>
        <a:blip r:embed="rId327"/>
        <a:stretch>
          <a:fillRect/>
        </a:stretch>
      </xdr:blipFill>
      <xdr:spPr>
        <a:xfrm>
          <a:off x="19424650" y="3467100"/>
          <a:ext cx="8753475" cy="2181225"/>
        </a:xfrm>
        <a:prstGeom prst="rect">
          <a:avLst/>
        </a:prstGeom>
        <a:noFill/>
        <a:ln w="9525">
          <a:noFill/>
        </a:ln>
      </xdr:spPr>
    </xdr:pic>
  </etc:cellImage>
  <etc:cellImage>
    <xdr:pic>
      <xdr:nvPicPr>
        <xdr:cNvPr id="725" name="ID_64CF850183D74624BB59A51CF7CE6D9A"/>
        <xdr:cNvPicPr>
          <a:picLocks noChangeAspect="1"/>
        </xdr:cNvPicPr>
      </xdr:nvPicPr>
      <xdr:blipFill>
        <a:blip r:embed="rId328"/>
        <a:stretch>
          <a:fillRect/>
        </a:stretch>
      </xdr:blipFill>
      <xdr:spPr>
        <a:xfrm>
          <a:off x="19424650" y="4305300"/>
          <a:ext cx="8791575" cy="2981325"/>
        </a:xfrm>
        <a:prstGeom prst="rect">
          <a:avLst/>
        </a:prstGeom>
        <a:noFill/>
        <a:ln w="9525">
          <a:noFill/>
        </a:ln>
      </xdr:spPr>
    </xdr:pic>
  </etc:cellImage>
  <etc:cellImage>
    <xdr:pic>
      <xdr:nvPicPr>
        <xdr:cNvPr id="726" name="ID_6BF4A1B6CF264F4CB2B75465DDE0CB5A"/>
        <xdr:cNvPicPr>
          <a:picLocks noChangeAspect="1"/>
        </xdr:cNvPicPr>
      </xdr:nvPicPr>
      <xdr:blipFill>
        <a:blip r:embed="rId329"/>
        <a:stretch>
          <a:fillRect/>
        </a:stretch>
      </xdr:blipFill>
      <xdr:spPr>
        <a:xfrm>
          <a:off x="19424650" y="4724400"/>
          <a:ext cx="8772525" cy="2286000"/>
        </a:xfrm>
        <a:prstGeom prst="rect">
          <a:avLst/>
        </a:prstGeom>
        <a:noFill/>
        <a:ln w="9525">
          <a:noFill/>
        </a:ln>
      </xdr:spPr>
    </xdr:pic>
  </etc:cellImage>
  <etc:cellImage>
    <xdr:pic>
      <xdr:nvPicPr>
        <xdr:cNvPr id="727" name="ID_45C38D949E30448E9469BC1B770DE87C"/>
        <xdr:cNvPicPr>
          <a:picLocks noChangeAspect="1"/>
        </xdr:cNvPicPr>
      </xdr:nvPicPr>
      <xdr:blipFill>
        <a:blip r:embed="rId330"/>
        <a:stretch>
          <a:fillRect/>
        </a:stretch>
      </xdr:blipFill>
      <xdr:spPr>
        <a:xfrm>
          <a:off x="19424650" y="5143500"/>
          <a:ext cx="8829675" cy="2486025"/>
        </a:xfrm>
        <a:prstGeom prst="rect">
          <a:avLst/>
        </a:prstGeom>
        <a:noFill/>
        <a:ln w="9525">
          <a:noFill/>
        </a:ln>
      </xdr:spPr>
    </xdr:pic>
  </etc:cellImage>
  <etc:cellImage>
    <xdr:pic>
      <xdr:nvPicPr>
        <xdr:cNvPr id="728" name="ID_BC2BDD96610A4614B4379B3866B7A4FB"/>
        <xdr:cNvPicPr>
          <a:picLocks noChangeAspect="1"/>
        </xdr:cNvPicPr>
      </xdr:nvPicPr>
      <xdr:blipFill>
        <a:blip r:embed="rId331"/>
        <a:stretch>
          <a:fillRect/>
        </a:stretch>
      </xdr:blipFill>
      <xdr:spPr>
        <a:xfrm>
          <a:off x="19424650" y="5562600"/>
          <a:ext cx="8772525" cy="2819400"/>
        </a:xfrm>
        <a:prstGeom prst="rect">
          <a:avLst/>
        </a:prstGeom>
        <a:noFill/>
        <a:ln w="9525">
          <a:noFill/>
        </a:ln>
      </xdr:spPr>
    </xdr:pic>
  </etc:cellImage>
  <etc:cellImage>
    <xdr:pic>
      <xdr:nvPicPr>
        <xdr:cNvPr id="729" name="ID_AE2AADC1DA0D4938B5165DB4006381C5"/>
        <xdr:cNvPicPr>
          <a:picLocks noChangeAspect="1"/>
        </xdr:cNvPicPr>
      </xdr:nvPicPr>
      <xdr:blipFill>
        <a:blip r:embed="rId332"/>
        <a:stretch>
          <a:fillRect/>
        </a:stretch>
      </xdr:blipFill>
      <xdr:spPr>
        <a:xfrm>
          <a:off x="19424650" y="5981700"/>
          <a:ext cx="8734425" cy="2800350"/>
        </a:xfrm>
        <a:prstGeom prst="rect">
          <a:avLst/>
        </a:prstGeom>
        <a:noFill/>
        <a:ln w="9525">
          <a:noFill/>
        </a:ln>
      </xdr:spPr>
    </xdr:pic>
  </etc:cellImage>
  <etc:cellImage>
    <xdr:pic>
      <xdr:nvPicPr>
        <xdr:cNvPr id="730" name="ID_47FC3F74998740B19997553D6A4D7146"/>
        <xdr:cNvPicPr>
          <a:picLocks noChangeAspect="1"/>
        </xdr:cNvPicPr>
      </xdr:nvPicPr>
      <xdr:blipFill>
        <a:blip r:embed="rId333"/>
        <a:stretch>
          <a:fillRect/>
        </a:stretch>
      </xdr:blipFill>
      <xdr:spPr>
        <a:xfrm>
          <a:off x="19424650" y="6400800"/>
          <a:ext cx="8686800" cy="3114675"/>
        </a:xfrm>
        <a:prstGeom prst="rect">
          <a:avLst/>
        </a:prstGeom>
        <a:noFill/>
        <a:ln w="9525">
          <a:noFill/>
        </a:ln>
      </xdr:spPr>
    </xdr:pic>
  </etc:cellImage>
  <etc:cellImage>
    <xdr:pic>
      <xdr:nvPicPr>
        <xdr:cNvPr id="731" name="ID_BED0F2E7E81A4DFA8920843A5A1DFFCA"/>
        <xdr:cNvPicPr>
          <a:picLocks noChangeAspect="1"/>
        </xdr:cNvPicPr>
      </xdr:nvPicPr>
      <xdr:blipFill>
        <a:blip r:embed="rId334"/>
        <a:stretch>
          <a:fillRect/>
        </a:stretch>
      </xdr:blipFill>
      <xdr:spPr>
        <a:xfrm>
          <a:off x="19424650" y="6819900"/>
          <a:ext cx="9277350" cy="2676525"/>
        </a:xfrm>
        <a:prstGeom prst="rect">
          <a:avLst/>
        </a:prstGeom>
        <a:noFill/>
        <a:ln w="9525">
          <a:noFill/>
        </a:ln>
      </xdr:spPr>
    </xdr:pic>
  </etc:cellImage>
  <etc:cellImage>
    <xdr:pic>
      <xdr:nvPicPr>
        <xdr:cNvPr id="732" name="ID_9D296DC028D7433F9E234103DE88599C"/>
        <xdr:cNvPicPr>
          <a:picLocks noChangeAspect="1"/>
        </xdr:cNvPicPr>
      </xdr:nvPicPr>
      <xdr:blipFill>
        <a:blip r:embed="rId335"/>
        <a:stretch>
          <a:fillRect/>
        </a:stretch>
      </xdr:blipFill>
      <xdr:spPr>
        <a:xfrm>
          <a:off x="19424650" y="7239000"/>
          <a:ext cx="9258300" cy="1619250"/>
        </a:xfrm>
        <a:prstGeom prst="rect">
          <a:avLst/>
        </a:prstGeom>
        <a:noFill/>
        <a:ln w="9525">
          <a:noFill/>
        </a:ln>
      </xdr:spPr>
    </xdr:pic>
  </etc:cellImage>
  <etc:cellImage>
    <xdr:pic>
      <xdr:nvPicPr>
        <xdr:cNvPr id="733" name="ID_1FE3B3B77FA14ABE97510935C9F71C9E"/>
        <xdr:cNvPicPr>
          <a:picLocks noChangeAspect="1"/>
        </xdr:cNvPicPr>
      </xdr:nvPicPr>
      <xdr:blipFill>
        <a:blip r:embed="rId336"/>
        <a:stretch>
          <a:fillRect/>
        </a:stretch>
      </xdr:blipFill>
      <xdr:spPr>
        <a:xfrm>
          <a:off x="19424650" y="7867650"/>
          <a:ext cx="8477250" cy="2219325"/>
        </a:xfrm>
        <a:prstGeom prst="rect">
          <a:avLst/>
        </a:prstGeom>
        <a:noFill/>
        <a:ln w="9525">
          <a:noFill/>
        </a:ln>
      </xdr:spPr>
    </xdr:pic>
  </etc:cellImage>
  <etc:cellImage>
    <xdr:pic>
      <xdr:nvPicPr>
        <xdr:cNvPr id="734" name="ID_FAA707D825064627863D9F2437137CD0"/>
        <xdr:cNvPicPr>
          <a:picLocks noChangeAspect="1"/>
        </xdr:cNvPicPr>
      </xdr:nvPicPr>
      <xdr:blipFill>
        <a:blip r:embed="rId337"/>
        <a:stretch>
          <a:fillRect/>
        </a:stretch>
      </xdr:blipFill>
      <xdr:spPr>
        <a:xfrm>
          <a:off x="19424650" y="8286750"/>
          <a:ext cx="8420100" cy="2209800"/>
        </a:xfrm>
        <a:prstGeom prst="rect">
          <a:avLst/>
        </a:prstGeom>
        <a:noFill/>
        <a:ln w="9525">
          <a:noFill/>
        </a:ln>
      </xdr:spPr>
    </xdr:pic>
  </etc:cellImage>
  <etc:cellImage>
    <xdr:pic>
      <xdr:nvPicPr>
        <xdr:cNvPr id="735" name="ID_32BB498E60D9428A8DDB03EB4BCBBAD9"/>
        <xdr:cNvPicPr>
          <a:picLocks noChangeAspect="1"/>
        </xdr:cNvPicPr>
      </xdr:nvPicPr>
      <xdr:blipFill>
        <a:blip r:embed="rId338"/>
        <a:stretch>
          <a:fillRect/>
        </a:stretch>
      </xdr:blipFill>
      <xdr:spPr>
        <a:xfrm>
          <a:off x="19424650" y="8705850"/>
          <a:ext cx="8429625" cy="1190625"/>
        </a:xfrm>
        <a:prstGeom prst="rect">
          <a:avLst/>
        </a:prstGeom>
        <a:noFill/>
        <a:ln w="9525">
          <a:noFill/>
        </a:ln>
      </xdr:spPr>
    </xdr:pic>
  </etc:cellImage>
  <etc:cellImage>
    <xdr:pic>
      <xdr:nvPicPr>
        <xdr:cNvPr id="736" name="ID_C65C7B6080D44E7786E86E3FAC3DC22D"/>
        <xdr:cNvPicPr>
          <a:picLocks noChangeAspect="1"/>
        </xdr:cNvPicPr>
      </xdr:nvPicPr>
      <xdr:blipFill>
        <a:blip r:embed="rId339"/>
        <a:stretch>
          <a:fillRect/>
        </a:stretch>
      </xdr:blipFill>
      <xdr:spPr>
        <a:xfrm>
          <a:off x="19424650" y="9124950"/>
          <a:ext cx="3810000" cy="1152525"/>
        </a:xfrm>
        <a:prstGeom prst="rect">
          <a:avLst/>
        </a:prstGeom>
        <a:noFill/>
        <a:ln w="9525">
          <a:noFill/>
        </a:ln>
      </xdr:spPr>
    </xdr:pic>
  </etc:cellImage>
  <etc:cellImage>
    <xdr:pic>
      <xdr:nvPicPr>
        <xdr:cNvPr id="737" name="ID_7F4AF9CF7AA74F3185DDE511FFF7D0DE"/>
        <xdr:cNvPicPr>
          <a:picLocks noChangeAspect="1"/>
        </xdr:cNvPicPr>
      </xdr:nvPicPr>
      <xdr:blipFill>
        <a:blip r:embed="rId340"/>
        <a:stretch>
          <a:fillRect/>
        </a:stretch>
      </xdr:blipFill>
      <xdr:spPr>
        <a:xfrm>
          <a:off x="19424650" y="9544050"/>
          <a:ext cx="6781800" cy="1333500"/>
        </a:xfrm>
        <a:prstGeom prst="rect">
          <a:avLst/>
        </a:prstGeom>
        <a:noFill/>
        <a:ln w="9525">
          <a:noFill/>
        </a:ln>
      </xdr:spPr>
    </xdr:pic>
  </etc:cellImage>
  <etc:cellImage>
    <xdr:pic>
      <xdr:nvPicPr>
        <xdr:cNvPr id="738" name="ID_CAAFF6B3AB474C8FAD0458009BDF82D9"/>
        <xdr:cNvPicPr>
          <a:picLocks noChangeAspect="1"/>
        </xdr:cNvPicPr>
      </xdr:nvPicPr>
      <xdr:blipFill>
        <a:blip r:embed="rId341"/>
        <a:stretch>
          <a:fillRect/>
        </a:stretch>
      </xdr:blipFill>
      <xdr:spPr>
        <a:xfrm>
          <a:off x="19424650" y="9963150"/>
          <a:ext cx="6800850" cy="1314450"/>
        </a:xfrm>
        <a:prstGeom prst="rect">
          <a:avLst/>
        </a:prstGeom>
        <a:noFill/>
        <a:ln w="9525">
          <a:noFill/>
        </a:ln>
      </xdr:spPr>
    </xdr:pic>
  </etc:cellImage>
  <etc:cellImage>
    <xdr:pic>
      <xdr:nvPicPr>
        <xdr:cNvPr id="739" name="ID_FD97476FD5D74246BC80DE7153511B85"/>
        <xdr:cNvPicPr>
          <a:picLocks noChangeAspect="1"/>
        </xdr:cNvPicPr>
      </xdr:nvPicPr>
      <xdr:blipFill>
        <a:blip r:embed="rId342"/>
        <a:stretch>
          <a:fillRect/>
        </a:stretch>
      </xdr:blipFill>
      <xdr:spPr>
        <a:xfrm>
          <a:off x="19424650" y="10382250"/>
          <a:ext cx="6562725" cy="1162050"/>
        </a:xfrm>
        <a:prstGeom prst="rect">
          <a:avLst/>
        </a:prstGeom>
        <a:noFill/>
        <a:ln w="9525">
          <a:noFill/>
        </a:ln>
      </xdr:spPr>
    </xdr:pic>
  </etc:cellImage>
  <etc:cellImage>
    <xdr:pic>
      <xdr:nvPicPr>
        <xdr:cNvPr id="740" name="ID_C4CD3B07A5C049AA8295F549C88CB7C0"/>
        <xdr:cNvPicPr>
          <a:picLocks noChangeAspect="1"/>
        </xdr:cNvPicPr>
      </xdr:nvPicPr>
      <xdr:blipFill>
        <a:blip r:embed="rId343"/>
        <a:stretch>
          <a:fillRect/>
        </a:stretch>
      </xdr:blipFill>
      <xdr:spPr>
        <a:xfrm>
          <a:off x="19424650" y="10801350"/>
          <a:ext cx="6324600" cy="1219200"/>
        </a:xfrm>
        <a:prstGeom prst="rect">
          <a:avLst/>
        </a:prstGeom>
        <a:noFill/>
        <a:ln w="9525">
          <a:noFill/>
        </a:ln>
      </xdr:spPr>
    </xdr:pic>
  </etc:cellImage>
  <etc:cellImage>
    <xdr:pic>
      <xdr:nvPicPr>
        <xdr:cNvPr id="741" name="ID_23B57C198FD5442883789E7413DFC131"/>
        <xdr:cNvPicPr>
          <a:picLocks noChangeAspect="1"/>
        </xdr:cNvPicPr>
      </xdr:nvPicPr>
      <xdr:blipFill>
        <a:blip r:embed="rId344"/>
        <a:stretch>
          <a:fillRect/>
        </a:stretch>
      </xdr:blipFill>
      <xdr:spPr>
        <a:xfrm>
          <a:off x="19424650" y="11849100"/>
          <a:ext cx="9067800" cy="2105025"/>
        </a:xfrm>
        <a:prstGeom prst="rect">
          <a:avLst/>
        </a:prstGeom>
        <a:noFill/>
        <a:ln w="9525">
          <a:noFill/>
        </a:ln>
      </xdr:spPr>
    </xdr:pic>
  </etc:cellImage>
  <etc:cellImage>
    <xdr:pic>
      <xdr:nvPicPr>
        <xdr:cNvPr id="742" name="ID_727C7F7A92084B8290D0F11AE3F899FF"/>
        <xdr:cNvPicPr>
          <a:picLocks noChangeAspect="1"/>
        </xdr:cNvPicPr>
      </xdr:nvPicPr>
      <xdr:blipFill>
        <a:blip r:embed="rId345"/>
        <a:stretch>
          <a:fillRect/>
        </a:stretch>
      </xdr:blipFill>
      <xdr:spPr>
        <a:xfrm>
          <a:off x="19424650" y="12687300"/>
          <a:ext cx="8820150" cy="2867025"/>
        </a:xfrm>
        <a:prstGeom prst="rect">
          <a:avLst/>
        </a:prstGeom>
        <a:noFill/>
        <a:ln w="9525">
          <a:noFill/>
        </a:ln>
      </xdr:spPr>
    </xdr:pic>
  </etc:cellImage>
  <etc:cellImage>
    <xdr:pic>
      <xdr:nvPicPr>
        <xdr:cNvPr id="743" name="ID_CEFD35FC562649259176A69813C5CE02"/>
        <xdr:cNvPicPr>
          <a:picLocks noChangeAspect="1"/>
        </xdr:cNvPicPr>
      </xdr:nvPicPr>
      <xdr:blipFill>
        <a:blip r:embed="rId346"/>
        <a:stretch>
          <a:fillRect/>
        </a:stretch>
      </xdr:blipFill>
      <xdr:spPr>
        <a:xfrm>
          <a:off x="19424650" y="13525500"/>
          <a:ext cx="8972550" cy="2952750"/>
        </a:xfrm>
        <a:prstGeom prst="rect">
          <a:avLst/>
        </a:prstGeom>
        <a:noFill/>
        <a:ln w="9525">
          <a:noFill/>
        </a:ln>
      </xdr:spPr>
    </xdr:pic>
  </etc:cellImage>
  <etc:cellImage>
    <xdr:pic>
      <xdr:nvPicPr>
        <xdr:cNvPr id="744" name="ID_57F84E14A4154CBF839D63172A9E109B"/>
        <xdr:cNvPicPr>
          <a:picLocks noChangeAspect="1"/>
        </xdr:cNvPicPr>
      </xdr:nvPicPr>
      <xdr:blipFill>
        <a:blip r:embed="rId347"/>
        <a:stretch>
          <a:fillRect/>
        </a:stretch>
      </xdr:blipFill>
      <xdr:spPr>
        <a:xfrm>
          <a:off x="19424650" y="14363700"/>
          <a:ext cx="8991600" cy="2867025"/>
        </a:xfrm>
        <a:prstGeom prst="rect">
          <a:avLst/>
        </a:prstGeom>
        <a:noFill/>
        <a:ln w="9525">
          <a:noFill/>
        </a:ln>
      </xdr:spPr>
    </xdr:pic>
  </etc:cellImage>
  <etc:cellImage>
    <xdr:pic>
      <xdr:nvPicPr>
        <xdr:cNvPr id="745" name="ID_647355908CC34ECEBF0F6FA4BCCF2F4A"/>
        <xdr:cNvPicPr>
          <a:picLocks noChangeAspect="1"/>
        </xdr:cNvPicPr>
      </xdr:nvPicPr>
      <xdr:blipFill>
        <a:blip r:embed="rId348"/>
        <a:stretch>
          <a:fillRect/>
        </a:stretch>
      </xdr:blipFill>
      <xdr:spPr>
        <a:xfrm>
          <a:off x="17868265" y="1371600"/>
          <a:ext cx="8496300" cy="2838450"/>
        </a:xfrm>
        <a:prstGeom prst="rect">
          <a:avLst/>
        </a:prstGeom>
        <a:noFill/>
        <a:ln w="9525">
          <a:noFill/>
        </a:ln>
      </xdr:spPr>
    </xdr:pic>
  </etc:cellImage>
  <etc:cellImage>
    <xdr:pic>
      <xdr:nvPicPr>
        <xdr:cNvPr id="746" name="ID_4D68499F85E241F9880F6207A3071F3A"/>
        <xdr:cNvPicPr>
          <a:picLocks noChangeAspect="1"/>
        </xdr:cNvPicPr>
      </xdr:nvPicPr>
      <xdr:blipFill>
        <a:blip r:embed="rId349"/>
        <a:stretch>
          <a:fillRect/>
        </a:stretch>
      </xdr:blipFill>
      <xdr:spPr>
        <a:xfrm>
          <a:off x="17868265" y="11010900"/>
          <a:ext cx="8505825" cy="3352800"/>
        </a:xfrm>
        <a:prstGeom prst="rect">
          <a:avLst/>
        </a:prstGeom>
        <a:noFill/>
        <a:ln w="9525">
          <a:noFill/>
        </a:ln>
      </xdr:spPr>
    </xdr:pic>
  </etc:cellImage>
  <etc:cellImage>
    <xdr:pic>
      <xdr:nvPicPr>
        <xdr:cNvPr id="747" name="ID_EDE8CE1D8C754E5AAAC60C00F514BC84"/>
        <xdr:cNvPicPr>
          <a:picLocks noChangeAspect="1"/>
        </xdr:cNvPicPr>
      </xdr:nvPicPr>
      <xdr:blipFill>
        <a:blip r:embed="rId350"/>
        <a:stretch>
          <a:fillRect/>
        </a:stretch>
      </xdr:blipFill>
      <xdr:spPr>
        <a:xfrm>
          <a:off x="17868265" y="20859750"/>
          <a:ext cx="8724900" cy="4352925"/>
        </a:xfrm>
        <a:prstGeom prst="rect">
          <a:avLst/>
        </a:prstGeom>
        <a:noFill/>
        <a:ln w="9525">
          <a:noFill/>
        </a:ln>
      </xdr:spPr>
    </xdr:pic>
  </etc:cellImage>
  <etc:cellImage>
    <xdr:pic>
      <xdr:nvPicPr>
        <xdr:cNvPr id="748" name="ID_A48AAB49E3E748A183104449D2967141"/>
        <xdr:cNvPicPr>
          <a:picLocks noChangeAspect="1"/>
        </xdr:cNvPicPr>
      </xdr:nvPicPr>
      <xdr:blipFill>
        <a:blip r:embed="rId351"/>
        <a:stretch>
          <a:fillRect/>
        </a:stretch>
      </xdr:blipFill>
      <xdr:spPr>
        <a:xfrm>
          <a:off x="17868265" y="952500"/>
          <a:ext cx="8143875" cy="4543425"/>
        </a:xfrm>
        <a:prstGeom prst="rect">
          <a:avLst/>
        </a:prstGeom>
        <a:noFill/>
        <a:ln w="9525">
          <a:noFill/>
        </a:ln>
      </xdr:spPr>
    </xdr:pic>
  </etc:cellImage>
  <etc:cellImage>
    <xdr:pic>
      <xdr:nvPicPr>
        <xdr:cNvPr id="749" name="ID_67E524CC6999442B986A84CF937E82F8"/>
        <xdr:cNvPicPr>
          <a:picLocks noChangeAspect="1"/>
        </xdr:cNvPicPr>
      </xdr:nvPicPr>
      <xdr:blipFill>
        <a:blip r:embed="rId352"/>
        <a:stretch>
          <a:fillRect/>
        </a:stretch>
      </xdr:blipFill>
      <xdr:spPr>
        <a:xfrm>
          <a:off x="17868265" y="21278850"/>
          <a:ext cx="8639175" cy="1323975"/>
        </a:xfrm>
        <a:prstGeom prst="rect">
          <a:avLst/>
        </a:prstGeom>
        <a:noFill/>
        <a:ln w="9525">
          <a:noFill/>
        </a:ln>
      </xdr:spPr>
    </xdr:pic>
  </etc:cellImage>
  <etc:cellImage>
    <xdr:pic>
      <xdr:nvPicPr>
        <xdr:cNvPr id="750" name="ID_F636FC85B3ED44F9A4AF8F3DDA28FC14"/>
        <xdr:cNvPicPr>
          <a:picLocks noChangeAspect="1"/>
        </xdr:cNvPicPr>
      </xdr:nvPicPr>
      <xdr:blipFill>
        <a:blip r:embed="rId353"/>
        <a:stretch>
          <a:fillRect/>
        </a:stretch>
      </xdr:blipFill>
      <xdr:spPr>
        <a:xfrm>
          <a:off x="17868265" y="1790700"/>
          <a:ext cx="8496300" cy="3143250"/>
        </a:xfrm>
        <a:prstGeom prst="rect">
          <a:avLst/>
        </a:prstGeom>
        <a:noFill/>
        <a:ln w="9525">
          <a:noFill/>
        </a:ln>
      </xdr:spPr>
    </xdr:pic>
  </etc:cellImage>
  <etc:cellImage>
    <xdr:pic>
      <xdr:nvPicPr>
        <xdr:cNvPr id="751" name="ID_E1900A947715469287B07357B2CE859B"/>
        <xdr:cNvPicPr>
          <a:picLocks noChangeAspect="1"/>
        </xdr:cNvPicPr>
      </xdr:nvPicPr>
      <xdr:blipFill>
        <a:blip r:embed="rId354"/>
        <a:stretch>
          <a:fillRect/>
        </a:stretch>
      </xdr:blipFill>
      <xdr:spPr>
        <a:xfrm>
          <a:off x="17868265" y="2628900"/>
          <a:ext cx="8448675" cy="3933825"/>
        </a:xfrm>
        <a:prstGeom prst="rect">
          <a:avLst/>
        </a:prstGeom>
        <a:noFill/>
        <a:ln w="9525">
          <a:noFill/>
        </a:ln>
      </xdr:spPr>
    </xdr:pic>
  </etc:cellImage>
  <etc:cellImage>
    <xdr:pic>
      <xdr:nvPicPr>
        <xdr:cNvPr id="752" name="ID_A104F634A3524F479B410C21721E3B8B"/>
        <xdr:cNvPicPr>
          <a:picLocks noChangeAspect="1"/>
        </xdr:cNvPicPr>
      </xdr:nvPicPr>
      <xdr:blipFill>
        <a:blip r:embed="rId355"/>
        <a:stretch>
          <a:fillRect/>
        </a:stretch>
      </xdr:blipFill>
      <xdr:spPr>
        <a:xfrm>
          <a:off x="17868265" y="22326600"/>
          <a:ext cx="8610600" cy="3276600"/>
        </a:xfrm>
        <a:prstGeom prst="rect">
          <a:avLst/>
        </a:prstGeom>
        <a:noFill/>
        <a:ln w="9525">
          <a:noFill/>
        </a:ln>
      </xdr:spPr>
    </xdr:pic>
  </etc:cellImage>
  <etc:cellImage>
    <xdr:pic>
      <xdr:nvPicPr>
        <xdr:cNvPr id="753" name="ID_BC79BAC4D51C4B2BB5BA7055BD37AD97"/>
        <xdr:cNvPicPr>
          <a:picLocks noChangeAspect="1"/>
        </xdr:cNvPicPr>
      </xdr:nvPicPr>
      <xdr:blipFill>
        <a:blip r:embed="rId356"/>
        <a:stretch>
          <a:fillRect/>
        </a:stretch>
      </xdr:blipFill>
      <xdr:spPr>
        <a:xfrm>
          <a:off x="17868265" y="2209800"/>
          <a:ext cx="8591550" cy="1219200"/>
        </a:xfrm>
        <a:prstGeom prst="rect">
          <a:avLst/>
        </a:prstGeom>
        <a:noFill/>
        <a:ln w="9525">
          <a:noFill/>
        </a:ln>
      </xdr:spPr>
    </xdr:pic>
  </etc:cellImage>
  <etc:cellImage>
    <xdr:pic>
      <xdr:nvPicPr>
        <xdr:cNvPr id="754" name="ID_E47B2841793A4F54846F87E45DB2E729"/>
        <xdr:cNvPicPr>
          <a:picLocks noChangeAspect="1"/>
        </xdr:cNvPicPr>
      </xdr:nvPicPr>
      <xdr:blipFill>
        <a:blip r:embed="rId357"/>
        <a:stretch>
          <a:fillRect/>
        </a:stretch>
      </xdr:blipFill>
      <xdr:spPr>
        <a:xfrm>
          <a:off x="17868265" y="3048000"/>
          <a:ext cx="8639175" cy="2181225"/>
        </a:xfrm>
        <a:prstGeom prst="rect">
          <a:avLst/>
        </a:prstGeom>
        <a:noFill/>
        <a:ln w="9525">
          <a:noFill/>
        </a:ln>
      </xdr:spPr>
    </xdr:pic>
  </etc:cellImage>
  <etc:cellImage>
    <xdr:pic>
      <xdr:nvPicPr>
        <xdr:cNvPr id="755" name="ID_3B974D1D38694B52B626E5900ADFB51E"/>
        <xdr:cNvPicPr>
          <a:picLocks noChangeAspect="1"/>
        </xdr:cNvPicPr>
      </xdr:nvPicPr>
      <xdr:blipFill>
        <a:blip r:embed="rId358"/>
        <a:stretch>
          <a:fillRect/>
        </a:stretch>
      </xdr:blipFill>
      <xdr:spPr>
        <a:xfrm>
          <a:off x="17868265" y="12687300"/>
          <a:ext cx="8763000" cy="1314450"/>
        </a:xfrm>
        <a:prstGeom prst="rect">
          <a:avLst/>
        </a:prstGeom>
        <a:noFill/>
        <a:ln w="9525">
          <a:noFill/>
        </a:ln>
      </xdr:spPr>
    </xdr:pic>
  </etc:cellImage>
  <etc:cellImage>
    <xdr:pic>
      <xdr:nvPicPr>
        <xdr:cNvPr id="756" name="ID_C0149EF4BDD949DD8A9555AF07584E1C"/>
        <xdr:cNvPicPr>
          <a:picLocks noChangeAspect="1"/>
        </xdr:cNvPicPr>
      </xdr:nvPicPr>
      <xdr:blipFill>
        <a:blip r:embed="rId359"/>
        <a:stretch>
          <a:fillRect/>
        </a:stretch>
      </xdr:blipFill>
      <xdr:spPr>
        <a:xfrm>
          <a:off x="17868265" y="22745700"/>
          <a:ext cx="8496300" cy="3105150"/>
        </a:xfrm>
        <a:prstGeom prst="rect">
          <a:avLst/>
        </a:prstGeom>
        <a:noFill/>
        <a:ln w="9525">
          <a:noFill/>
        </a:ln>
      </xdr:spPr>
    </xdr:pic>
  </etc:cellImage>
  <etc:cellImage>
    <xdr:pic>
      <xdr:nvPicPr>
        <xdr:cNvPr id="757" name="ID_1266F11424BC4B3C90917FF5BFAB863E"/>
        <xdr:cNvPicPr>
          <a:picLocks noChangeAspect="1"/>
        </xdr:cNvPicPr>
      </xdr:nvPicPr>
      <xdr:blipFill>
        <a:blip r:embed="rId360"/>
        <a:stretch>
          <a:fillRect/>
        </a:stretch>
      </xdr:blipFill>
      <xdr:spPr>
        <a:xfrm>
          <a:off x="17868265" y="23793450"/>
          <a:ext cx="7981950" cy="3219450"/>
        </a:xfrm>
        <a:prstGeom prst="rect">
          <a:avLst/>
        </a:prstGeom>
        <a:noFill/>
        <a:ln w="9525">
          <a:noFill/>
        </a:ln>
      </xdr:spPr>
    </xdr:pic>
  </etc:cellImage>
  <etc:cellImage>
    <xdr:pic>
      <xdr:nvPicPr>
        <xdr:cNvPr id="758" name="ID_9EC67ACD11A8407EAF95ADCF0291D3F7"/>
        <xdr:cNvPicPr>
          <a:picLocks noChangeAspect="1"/>
        </xdr:cNvPicPr>
      </xdr:nvPicPr>
      <xdr:blipFill>
        <a:blip r:embed="rId361"/>
        <a:stretch>
          <a:fillRect/>
        </a:stretch>
      </xdr:blipFill>
      <xdr:spPr>
        <a:xfrm>
          <a:off x="17868265" y="3886200"/>
          <a:ext cx="8420100" cy="2105025"/>
        </a:xfrm>
        <a:prstGeom prst="rect">
          <a:avLst/>
        </a:prstGeom>
        <a:noFill/>
        <a:ln w="9525">
          <a:noFill/>
        </a:ln>
      </xdr:spPr>
    </xdr:pic>
  </etc:cellImage>
  <etc:cellImage>
    <xdr:pic>
      <xdr:nvPicPr>
        <xdr:cNvPr id="759" name="ID_992F8D9FDAAD4228BC8D7A0BD437FAED"/>
        <xdr:cNvPicPr>
          <a:picLocks noChangeAspect="1"/>
        </xdr:cNvPicPr>
      </xdr:nvPicPr>
      <xdr:blipFill>
        <a:blip r:embed="rId362"/>
        <a:stretch>
          <a:fillRect/>
        </a:stretch>
      </xdr:blipFill>
      <xdr:spPr>
        <a:xfrm>
          <a:off x="17868265" y="13525500"/>
          <a:ext cx="8505825" cy="4543425"/>
        </a:xfrm>
        <a:prstGeom prst="rect">
          <a:avLst/>
        </a:prstGeom>
        <a:noFill/>
        <a:ln w="9525">
          <a:noFill/>
        </a:ln>
      </xdr:spPr>
    </xdr:pic>
  </etc:cellImage>
  <etc:cellImage>
    <xdr:pic>
      <xdr:nvPicPr>
        <xdr:cNvPr id="760" name="ID_B34587D33B7E41E4857861CCB2243062"/>
        <xdr:cNvPicPr>
          <a:picLocks noChangeAspect="1"/>
        </xdr:cNvPicPr>
      </xdr:nvPicPr>
      <xdr:blipFill>
        <a:blip r:embed="rId363"/>
        <a:stretch>
          <a:fillRect/>
        </a:stretch>
      </xdr:blipFill>
      <xdr:spPr>
        <a:xfrm>
          <a:off x="17868265" y="3467100"/>
          <a:ext cx="8496300" cy="2057400"/>
        </a:xfrm>
        <a:prstGeom prst="rect">
          <a:avLst/>
        </a:prstGeom>
        <a:noFill/>
        <a:ln w="9525">
          <a:noFill/>
        </a:ln>
      </xdr:spPr>
    </xdr:pic>
  </etc:cellImage>
  <etc:cellImage>
    <xdr:pic>
      <xdr:nvPicPr>
        <xdr:cNvPr id="761" name="ID_C36844894E244F7F9314CFBD0BDF8608"/>
        <xdr:cNvPicPr>
          <a:picLocks noChangeAspect="1"/>
        </xdr:cNvPicPr>
      </xdr:nvPicPr>
      <xdr:blipFill>
        <a:blip r:embed="rId364"/>
        <a:stretch>
          <a:fillRect/>
        </a:stretch>
      </xdr:blipFill>
      <xdr:spPr>
        <a:xfrm>
          <a:off x="17868265" y="4305300"/>
          <a:ext cx="8334375" cy="1771650"/>
        </a:xfrm>
        <a:prstGeom prst="rect">
          <a:avLst/>
        </a:prstGeom>
        <a:noFill/>
        <a:ln w="9525">
          <a:noFill/>
        </a:ln>
      </xdr:spPr>
    </xdr:pic>
  </etc:cellImage>
  <etc:cellImage>
    <xdr:pic>
      <xdr:nvPicPr>
        <xdr:cNvPr id="762" name="ID_E3006F63DAD84C5EB6A3C968F6983F0C"/>
        <xdr:cNvPicPr>
          <a:picLocks noChangeAspect="1"/>
        </xdr:cNvPicPr>
      </xdr:nvPicPr>
      <xdr:blipFill>
        <a:blip r:embed="rId365"/>
        <a:stretch>
          <a:fillRect/>
        </a:stretch>
      </xdr:blipFill>
      <xdr:spPr>
        <a:xfrm>
          <a:off x="17868265" y="24212550"/>
          <a:ext cx="8439150" cy="3124200"/>
        </a:xfrm>
        <a:prstGeom prst="rect">
          <a:avLst/>
        </a:prstGeom>
        <a:noFill/>
        <a:ln w="9525">
          <a:noFill/>
        </a:ln>
      </xdr:spPr>
    </xdr:pic>
  </etc:cellImage>
  <etc:cellImage>
    <xdr:pic>
      <xdr:nvPicPr>
        <xdr:cNvPr id="763" name="ID_F6AC47E2DD41443D9B5E93FD03424A5A"/>
        <xdr:cNvPicPr>
          <a:picLocks noChangeAspect="1"/>
        </xdr:cNvPicPr>
      </xdr:nvPicPr>
      <xdr:blipFill>
        <a:blip r:embed="rId366"/>
        <a:stretch>
          <a:fillRect/>
        </a:stretch>
      </xdr:blipFill>
      <xdr:spPr>
        <a:xfrm>
          <a:off x="17868265" y="4724400"/>
          <a:ext cx="8696325" cy="2295525"/>
        </a:xfrm>
        <a:prstGeom prst="rect">
          <a:avLst/>
        </a:prstGeom>
        <a:noFill/>
        <a:ln w="9525">
          <a:noFill/>
        </a:ln>
      </xdr:spPr>
    </xdr:pic>
  </etc:cellImage>
  <etc:cellImage>
    <xdr:pic>
      <xdr:nvPicPr>
        <xdr:cNvPr id="764" name="ID_8338ACCD40BE48B7B08EDB8A3C1FC174"/>
        <xdr:cNvPicPr>
          <a:picLocks noChangeAspect="1"/>
        </xdr:cNvPicPr>
      </xdr:nvPicPr>
      <xdr:blipFill>
        <a:blip r:embed="rId367"/>
        <a:stretch>
          <a:fillRect/>
        </a:stretch>
      </xdr:blipFill>
      <xdr:spPr>
        <a:xfrm>
          <a:off x="17868265" y="14363700"/>
          <a:ext cx="8391525" cy="2181225"/>
        </a:xfrm>
        <a:prstGeom prst="rect">
          <a:avLst/>
        </a:prstGeom>
        <a:noFill/>
        <a:ln w="9525">
          <a:noFill/>
        </a:ln>
      </xdr:spPr>
    </xdr:pic>
  </etc:cellImage>
  <etc:cellImage>
    <xdr:pic>
      <xdr:nvPicPr>
        <xdr:cNvPr id="765" name="ID_726BE09243F043A9BA87488718D3D6CE"/>
        <xdr:cNvPicPr>
          <a:picLocks noChangeAspect="1"/>
        </xdr:cNvPicPr>
      </xdr:nvPicPr>
      <xdr:blipFill>
        <a:blip r:embed="rId368"/>
        <a:stretch>
          <a:fillRect/>
        </a:stretch>
      </xdr:blipFill>
      <xdr:spPr>
        <a:xfrm>
          <a:off x="17868265" y="25050750"/>
          <a:ext cx="8524875" cy="1543050"/>
        </a:xfrm>
        <a:prstGeom prst="rect">
          <a:avLst/>
        </a:prstGeom>
        <a:noFill/>
        <a:ln w="9525">
          <a:noFill/>
        </a:ln>
      </xdr:spPr>
    </xdr:pic>
  </etc:cellImage>
  <etc:cellImage>
    <xdr:pic>
      <xdr:nvPicPr>
        <xdr:cNvPr id="766" name="ID_EC2B0E053A1D43A4BC81F585186C4781"/>
        <xdr:cNvPicPr>
          <a:picLocks noChangeAspect="1"/>
        </xdr:cNvPicPr>
      </xdr:nvPicPr>
      <xdr:blipFill>
        <a:blip r:embed="rId369"/>
        <a:stretch>
          <a:fillRect/>
        </a:stretch>
      </xdr:blipFill>
      <xdr:spPr>
        <a:xfrm>
          <a:off x="17868265" y="5143500"/>
          <a:ext cx="4352925" cy="1076325"/>
        </a:xfrm>
        <a:prstGeom prst="rect">
          <a:avLst/>
        </a:prstGeom>
        <a:noFill/>
        <a:ln w="9525">
          <a:noFill/>
        </a:ln>
      </xdr:spPr>
    </xdr:pic>
  </etc:cellImage>
  <etc:cellImage>
    <xdr:pic>
      <xdr:nvPicPr>
        <xdr:cNvPr id="767" name="ID_4F9572CEB607495ABB2CE929FF12D6F7"/>
        <xdr:cNvPicPr>
          <a:picLocks noChangeAspect="1"/>
        </xdr:cNvPicPr>
      </xdr:nvPicPr>
      <xdr:blipFill>
        <a:blip r:embed="rId370"/>
        <a:stretch>
          <a:fillRect/>
        </a:stretch>
      </xdr:blipFill>
      <xdr:spPr>
        <a:xfrm>
          <a:off x="17868265" y="25469850"/>
          <a:ext cx="8610600" cy="1809750"/>
        </a:xfrm>
        <a:prstGeom prst="rect">
          <a:avLst/>
        </a:prstGeom>
        <a:noFill/>
        <a:ln w="9525">
          <a:noFill/>
        </a:ln>
      </xdr:spPr>
    </xdr:pic>
  </etc:cellImage>
  <etc:cellImage>
    <xdr:pic>
      <xdr:nvPicPr>
        <xdr:cNvPr id="768" name="ID_6317C1A92A824604B378521DCF08DF78"/>
        <xdr:cNvPicPr>
          <a:picLocks noChangeAspect="1"/>
        </xdr:cNvPicPr>
      </xdr:nvPicPr>
      <xdr:blipFill>
        <a:blip r:embed="rId371"/>
        <a:stretch>
          <a:fillRect/>
        </a:stretch>
      </xdr:blipFill>
      <xdr:spPr>
        <a:xfrm>
          <a:off x="17868265" y="5562600"/>
          <a:ext cx="8524875" cy="1362075"/>
        </a:xfrm>
        <a:prstGeom prst="rect">
          <a:avLst/>
        </a:prstGeom>
        <a:noFill/>
        <a:ln w="9525">
          <a:noFill/>
        </a:ln>
      </xdr:spPr>
    </xdr:pic>
  </etc:cellImage>
  <etc:cellImage>
    <xdr:pic>
      <xdr:nvPicPr>
        <xdr:cNvPr id="769" name="ID_B86E0B4900DA46D3ABB0A82462475652"/>
        <xdr:cNvPicPr>
          <a:picLocks noChangeAspect="1"/>
        </xdr:cNvPicPr>
      </xdr:nvPicPr>
      <xdr:blipFill>
        <a:blip r:embed="rId372"/>
        <a:stretch>
          <a:fillRect/>
        </a:stretch>
      </xdr:blipFill>
      <xdr:spPr>
        <a:xfrm>
          <a:off x="17868265" y="15201900"/>
          <a:ext cx="8477250" cy="2276475"/>
        </a:xfrm>
        <a:prstGeom prst="rect">
          <a:avLst/>
        </a:prstGeom>
        <a:noFill/>
        <a:ln w="9525">
          <a:noFill/>
        </a:ln>
      </xdr:spPr>
    </xdr:pic>
  </etc:cellImage>
  <etc:cellImage>
    <xdr:pic>
      <xdr:nvPicPr>
        <xdr:cNvPr id="770" name="ID_309D1AC5632E45258DD33AE062822D2C"/>
        <xdr:cNvPicPr>
          <a:picLocks noChangeAspect="1"/>
        </xdr:cNvPicPr>
      </xdr:nvPicPr>
      <xdr:blipFill>
        <a:blip r:embed="rId373"/>
        <a:stretch>
          <a:fillRect/>
        </a:stretch>
      </xdr:blipFill>
      <xdr:spPr>
        <a:xfrm>
          <a:off x="17868265" y="5981700"/>
          <a:ext cx="8620125" cy="3924300"/>
        </a:xfrm>
        <a:prstGeom prst="rect">
          <a:avLst/>
        </a:prstGeom>
        <a:noFill/>
        <a:ln w="9525">
          <a:noFill/>
        </a:ln>
      </xdr:spPr>
    </xdr:pic>
  </etc:cellImage>
  <etc:cellImage>
    <xdr:pic>
      <xdr:nvPicPr>
        <xdr:cNvPr id="771" name="ID_DDD7CDAB453B4A24B55B6D0748B56C23"/>
        <xdr:cNvPicPr>
          <a:picLocks noChangeAspect="1"/>
        </xdr:cNvPicPr>
      </xdr:nvPicPr>
      <xdr:blipFill>
        <a:blip r:embed="rId374"/>
        <a:stretch>
          <a:fillRect/>
        </a:stretch>
      </xdr:blipFill>
      <xdr:spPr>
        <a:xfrm>
          <a:off x="17868265" y="6400800"/>
          <a:ext cx="8639175" cy="2524125"/>
        </a:xfrm>
        <a:prstGeom prst="rect">
          <a:avLst/>
        </a:prstGeom>
        <a:noFill/>
        <a:ln w="9525">
          <a:noFill/>
        </a:ln>
      </xdr:spPr>
    </xdr:pic>
  </etc:cellImage>
  <etc:cellImage>
    <xdr:pic>
      <xdr:nvPicPr>
        <xdr:cNvPr id="772" name="ID_D294CD1870A24B42A86238D4D776DD4D"/>
        <xdr:cNvPicPr>
          <a:picLocks noChangeAspect="1"/>
        </xdr:cNvPicPr>
      </xdr:nvPicPr>
      <xdr:blipFill>
        <a:blip r:embed="rId375"/>
        <a:stretch>
          <a:fillRect/>
        </a:stretch>
      </xdr:blipFill>
      <xdr:spPr>
        <a:xfrm>
          <a:off x="17868265" y="26936700"/>
          <a:ext cx="9286875" cy="2762250"/>
        </a:xfrm>
        <a:prstGeom prst="rect">
          <a:avLst/>
        </a:prstGeom>
        <a:noFill/>
        <a:ln w="9525">
          <a:noFill/>
        </a:ln>
      </xdr:spPr>
    </xdr:pic>
  </etc:cellImage>
  <etc:cellImage>
    <xdr:pic>
      <xdr:nvPicPr>
        <xdr:cNvPr id="773" name="ID_391A41FD7C384053A719DC693A02D79B"/>
        <xdr:cNvPicPr>
          <a:picLocks noChangeAspect="1"/>
        </xdr:cNvPicPr>
      </xdr:nvPicPr>
      <xdr:blipFill>
        <a:blip r:embed="rId376"/>
        <a:stretch>
          <a:fillRect/>
        </a:stretch>
      </xdr:blipFill>
      <xdr:spPr>
        <a:xfrm>
          <a:off x="17868265" y="6819900"/>
          <a:ext cx="6410325" cy="1314450"/>
        </a:xfrm>
        <a:prstGeom prst="rect">
          <a:avLst/>
        </a:prstGeom>
        <a:noFill/>
        <a:ln w="9525">
          <a:noFill/>
        </a:ln>
      </xdr:spPr>
    </xdr:pic>
  </etc:cellImage>
  <etc:cellImage>
    <xdr:pic>
      <xdr:nvPicPr>
        <xdr:cNvPr id="774" name="ID_CAEF74AAE6E747A78015C52D0747B2E0"/>
        <xdr:cNvPicPr>
          <a:picLocks noChangeAspect="1"/>
        </xdr:cNvPicPr>
      </xdr:nvPicPr>
      <xdr:blipFill>
        <a:blip r:embed="rId377"/>
        <a:stretch>
          <a:fillRect/>
        </a:stretch>
      </xdr:blipFill>
      <xdr:spPr>
        <a:xfrm>
          <a:off x="17868265" y="27355800"/>
          <a:ext cx="9324975" cy="3200400"/>
        </a:xfrm>
        <a:prstGeom prst="rect">
          <a:avLst/>
        </a:prstGeom>
        <a:noFill/>
        <a:ln w="9525">
          <a:noFill/>
        </a:ln>
      </xdr:spPr>
    </xdr:pic>
  </etc:cellImage>
  <etc:cellImage>
    <xdr:pic>
      <xdr:nvPicPr>
        <xdr:cNvPr id="775" name="ID_00448BFB47A34D0BB873785034F871E4"/>
        <xdr:cNvPicPr>
          <a:picLocks noChangeAspect="1"/>
        </xdr:cNvPicPr>
      </xdr:nvPicPr>
      <xdr:blipFill>
        <a:blip r:embed="rId378"/>
        <a:stretch>
          <a:fillRect/>
        </a:stretch>
      </xdr:blipFill>
      <xdr:spPr>
        <a:xfrm>
          <a:off x="17868265" y="7239000"/>
          <a:ext cx="8486775" cy="2724150"/>
        </a:xfrm>
        <a:prstGeom prst="rect">
          <a:avLst/>
        </a:prstGeom>
        <a:noFill/>
        <a:ln w="9525">
          <a:noFill/>
        </a:ln>
      </xdr:spPr>
    </xdr:pic>
  </etc:cellImage>
  <etc:cellImage>
    <xdr:pic>
      <xdr:nvPicPr>
        <xdr:cNvPr id="776" name="ID_CB2BB9C007474199A7CC15E63EECBE65"/>
        <xdr:cNvPicPr>
          <a:picLocks noChangeAspect="1"/>
        </xdr:cNvPicPr>
      </xdr:nvPicPr>
      <xdr:blipFill>
        <a:blip r:embed="rId379"/>
        <a:stretch>
          <a:fillRect/>
        </a:stretch>
      </xdr:blipFill>
      <xdr:spPr>
        <a:xfrm>
          <a:off x="17868265" y="16878300"/>
          <a:ext cx="8248650" cy="2771775"/>
        </a:xfrm>
        <a:prstGeom prst="rect">
          <a:avLst/>
        </a:prstGeom>
        <a:noFill/>
        <a:ln w="9525">
          <a:noFill/>
        </a:ln>
      </xdr:spPr>
    </xdr:pic>
  </etc:cellImage>
  <etc:cellImage>
    <xdr:pic>
      <xdr:nvPicPr>
        <xdr:cNvPr id="777" name="ID_F101F530DB1644A895AC38562B407956"/>
        <xdr:cNvPicPr>
          <a:picLocks noChangeAspect="1"/>
        </xdr:cNvPicPr>
      </xdr:nvPicPr>
      <xdr:blipFill>
        <a:blip r:embed="rId380"/>
        <a:stretch>
          <a:fillRect/>
        </a:stretch>
      </xdr:blipFill>
      <xdr:spPr>
        <a:xfrm>
          <a:off x="17868265" y="7658100"/>
          <a:ext cx="8543925" cy="2295525"/>
        </a:xfrm>
        <a:prstGeom prst="rect">
          <a:avLst/>
        </a:prstGeom>
        <a:noFill/>
        <a:ln w="9525">
          <a:noFill/>
        </a:ln>
      </xdr:spPr>
    </xdr:pic>
  </etc:cellImage>
  <etc:cellImage>
    <xdr:pic>
      <xdr:nvPicPr>
        <xdr:cNvPr id="778" name="ID_53AA1187804E426F94428E8B10B629EF"/>
        <xdr:cNvPicPr>
          <a:picLocks noChangeAspect="1"/>
        </xdr:cNvPicPr>
      </xdr:nvPicPr>
      <xdr:blipFill>
        <a:blip r:embed="rId381"/>
        <a:stretch>
          <a:fillRect/>
        </a:stretch>
      </xdr:blipFill>
      <xdr:spPr>
        <a:xfrm>
          <a:off x="17868265" y="8077200"/>
          <a:ext cx="8467725" cy="2228850"/>
        </a:xfrm>
        <a:prstGeom prst="rect">
          <a:avLst/>
        </a:prstGeom>
        <a:noFill/>
        <a:ln w="9525">
          <a:noFill/>
        </a:ln>
      </xdr:spPr>
    </xdr:pic>
  </etc:cellImage>
  <etc:cellImage>
    <xdr:pic>
      <xdr:nvPicPr>
        <xdr:cNvPr id="779" name="ID_15253F2463274AF9B3FD2B0AAF9743DA"/>
        <xdr:cNvPicPr>
          <a:picLocks noChangeAspect="1"/>
        </xdr:cNvPicPr>
      </xdr:nvPicPr>
      <xdr:blipFill>
        <a:blip r:embed="rId382"/>
        <a:stretch>
          <a:fillRect/>
        </a:stretch>
      </xdr:blipFill>
      <xdr:spPr>
        <a:xfrm>
          <a:off x="17868265" y="17716500"/>
          <a:ext cx="8077200" cy="3152775"/>
        </a:xfrm>
        <a:prstGeom prst="rect">
          <a:avLst/>
        </a:prstGeom>
        <a:noFill/>
        <a:ln w="9525">
          <a:noFill/>
        </a:ln>
      </xdr:spPr>
    </xdr:pic>
  </etc:cellImage>
  <etc:cellImage>
    <xdr:pic>
      <xdr:nvPicPr>
        <xdr:cNvPr id="780" name="ID_12A8E8F5AB4B46EDAD2210FA3F4C64BD"/>
        <xdr:cNvPicPr>
          <a:picLocks noChangeAspect="1"/>
        </xdr:cNvPicPr>
      </xdr:nvPicPr>
      <xdr:blipFill>
        <a:blip r:embed="rId383"/>
        <a:stretch>
          <a:fillRect/>
        </a:stretch>
      </xdr:blipFill>
      <xdr:spPr>
        <a:xfrm>
          <a:off x="17868265" y="28822650"/>
          <a:ext cx="8848725" cy="2514600"/>
        </a:xfrm>
        <a:prstGeom prst="rect">
          <a:avLst/>
        </a:prstGeom>
        <a:noFill/>
        <a:ln w="9525">
          <a:noFill/>
        </a:ln>
      </xdr:spPr>
    </xdr:pic>
  </etc:cellImage>
  <etc:cellImage>
    <xdr:pic>
      <xdr:nvPicPr>
        <xdr:cNvPr id="781" name="ID_7B2FAFD9CC9B4A4E966272B2A27CC1A0"/>
        <xdr:cNvPicPr>
          <a:picLocks noChangeAspect="1"/>
        </xdr:cNvPicPr>
      </xdr:nvPicPr>
      <xdr:blipFill>
        <a:blip r:embed="rId384"/>
        <a:stretch>
          <a:fillRect/>
        </a:stretch>
      </xdr:blipFill>
      <xdr:spPr>
        <a:xfrm>
          <a:off x="17868265" y="27984450"/>
          <a:ext cx="8820150" cy="2457450"/>
        </a:xfrm>
        <a:prstGeom prst="rect">
          <a:avLst/>
        </a:prstGeom>
        <a:noFill/>
        <a:ln w="9525">
          <a:noFill/>
        </a:ln>
      </xdr:spPr>
    </xdr:pic>
  </etc:cellImage>
  <etc:cellImage>
    <xdr:pic>
      <xdr:nvPicPr>
        <xdr:cNvPr id="782" name="ID_1C061D1379DF4466963853BFE948013B"/>
        <xdr:cNvPicPr>
          <a:picLocks noChangeAspect="1"/>
        </xdr:cNvPicPr>
      </xdr:nvPicPr>
      <xdr:blipFill>
        <a:blip r:embed="rId385"/>
        <a:stretch>
          <a:fillRect/>
        </a:stretch>
      </xdr:blipFill>
      <xdr:spPr>
        <a:xfrm>
          <a:off x="17868265" y="8496300"/>
          <a:ext cx="8524875" cy="2847975"/>
        </a:xfrm>
        <a:prstGeom prst="rect">
          <a:avLst/>
        </a:prstGeom>
        <a:noFill/>
        <a:ln w="9525">
          <a:noFill/>
        </a:ln>
      </xdr:spPr>
    </xdr:pic>
  </etc:cellImage>
  <etc:cellImage>
    <xdr:pic>
      <xdr:nvPicPr>
        <xdr:cNvPr id="783" name="ID_5EEC826222D24D42A046E5F794587719"/>
        <xdr:cNvPicPr>
          <a:picLocks noChangeAspect="1"/>
        </xdr:cNvPicPr>
      </xdr:nvPicPr>
      <xdr:blipFill>
        <a:blip r:embed="rId386"/>
        <a:stretch>
          <a:fillRect/>
        </a:stretch>
      </xdr:blipFill>
      <xdr:spPr>
        <a:xfrm>
          <a:off x="17868265" y="8915400"/>
          <a:ext cx="4133850" cy="1323975"/>
        </a:xfrm>
        <a:prstGeom prst="rect">
          <a:avLst/>
        </a:prstGeom>
        <a:noFill/>
        <a:ln w="9525">
          <a:noFill/>
        </a:ln>
      </xdr:spPr>
    </xdr:pic>
  </etc:cellImage>
  <etc:cellImage>
    <xdr:pic>
      <xdr:nvPicPr>
        <xdr:cNvPr id="784" name="ID_A41F38C3301D412C876BDD3A30B32CB9"/>
        <xdr:cNvPicPr>
          <a:picLocks noChangeAspect="1"/>
        </xdr:cNvPicPr>
      </xdr:nvPicPr>
      <xdr:blipFill>
        <a:blip r:embed="rId387"/>
        <a:stretch>
          <a:fillRect/>
        </a:stretch>
      </xdr:blipFill>
      <xdr:spPr>
        <a:xfrm>
          <a:off x="17868265" y="30499050"/>
          <a:ext cx="8943975" cy="2857500"/>
        </a:xfrm>
        <a:prstGeom prst="rect">
          <a:avLst/>
        </a:prstGeom>
        <a:noFill/>
        <a:ln w="9525">
          <a:noFill/>
        </a:ln>
      </xdr:spPr>
    </xdr:pic>
  </etc:cellImage>
  <etc:cellImage>
    <xdr:pic>
      <xdr:nvPicPr>
        <xdr:cNvPr id="785" name="ID_7F80FEB075574E95A5560F911F6566E1"/>
        <xdr:cNvPicPr>
          <a:picLocks noChangeAspect="1"/>
        </xdr:cNvPicPr>
      </xdr:nvPicPr>
      <xdr:blipFill>
        <a:blip r:embed="rId388"/>
        <a:stretch>
          <a:fillRect/>
        </a:stretch>
      </xdr:blipFill>
      <xdr:spPr>
        <a:xfrm>
          <a:off x="17868265" y="9334500"/>
          <a:ext cx="8229600" cy="2505075"/>
        </a:xfrm>
        <a:prstGeom prst="rect">
          <a:avLst/>
        </a:prstGeom>
        <a:noFill/>
        <a:ln w="9525">
          <a:noFill/>
        </a:ln>
      </xdr:spPr>
    </xdr:pic>
  </etc:cellImage>
  <etc:cellImage>
    <xdr:pic>
      <xdr:nvPicPr>
        <xdr:cNvPr id="786" name="ID_166E77D83B5141388F0649DC90857075"/>
        <xdr:cNvPicPr>
          <a:picLocks noChangeAspect="1"/>
        </xdr:cNvPicPr>
      </xdr:nvPicPr>
      <xdr:blipFill>
        <a:blip r:embed="rId389"/>
        <a:stretch>
          <a:fillRect/>
        </a:stretch>
      </xdr:blipFill>
      <xdr:spPr>
        <a:xfrm>
          <a:off x="17868265" y="30918150"/>
          <a:ext cx="8963025" cy="2857500"/>
        </a:xfrm>
        <a:prstGeom prst="rect">
          <a:avLst/>
        </a:prstGeom>
        <a:noFill/>
        <a:ln w="9525">
          <a:noFill/>
        </a:ln>
      </xdr:spPr>
    </xdr:pic>
  </etc:cellImage>
  <etc:cellImage>
    <xdr:pic>
      <xdr:nvPicPr>
        <xdr:cNvPr id="787" name="ID_45644359776C48098B720D778B5FB3AC"/>
        <xdr:cNvPicPr>
          <a:picLocks noChangeAspect="1"/>
        </xdr:cNvPicPr>
      </xdr:nvPicPr>
      <xdr:blipFill>
        <a:blip r:embed="rId390"/>
        <a:stretch>
          <a:fillRect/>
        </a:stretch>
      </xdr:blipFill>
      <xdr:spPr>
        <a:xfrm>
          <a:off x="17868265" y="9753600"/>
          <a:ext cx="8296275" cy="2543175"/>
        </a:xfrm>
        <a:prstGeom prst="rect">
          <a:avLst/>
        </a:prstGeom>
        <a:noFill/>
        <a:ln w="9525">
          <a:noFill/>
        </a:ln>
      </xdr:spPr>
    </xdr:pic>
  </etc:cellImage>
  <etc:cellImage>
    <xdr:pic>
      <xdr:nvPicPr>
        <xdr:cNvPr id="788" name="ID_1AB90A4189DD42EA8A161B9C337B0166"/>
        <xdr:cNvPicPr>
          <a:picLocks noChangeAspect="1"/>
        </xdr:cNvPicPr>
      </xdr:nvPicPr>
      <xdr:blipFill>
        <a:blip r:embed="rId391"/>
        <a:stretch>
          <a:fillRect/>
        </a:stretch>
      </xdr:blipFill>
      <xdr:spPr>
        <a:xfrm>
          <a:off x="17868265" y="20021550"/>
          <a:ext cx="8505825" cy="3952875"/>
        </a:xfrm>
        <a:prstGeom prst="rect">
          <a:avLst/>
        </a:prstGeom>
        <a:noFill/>
        <a:ln w="9525">
          <a:noFill/>
        </a:ln>
      </xdr:spPr>
    </xdr:pic>
  </etc:cellImage>
  <etc:cellImage>
    <xdr:pic>
      <xdr:nvPicPr>
        <xdr:cNvPr id="789" name="ID_C8052B1EB70046998C41FBC3762274AD"/>
        <xdr:cNvPicPr>
          <a:picLocks noChangeAspect="1"/>
        </xdr:cNvPicPr>
      </xdr:nvPicPr>
      <xdr:blipFill>
        <a:blip r:embed="rId392"/>
        <a:stretch>
          <a:fillRect/>
        </a:stretch>
      </xdr:blipFill>
      <xdr:spPr>
        <a:xfrm>
          <a:off x="17868265" y="10172700"/>
          <a:ext cx="8267700" cy="2495550"/>
        </a:xfrm>
        <a:prstGeom prst="rect">
          <a:avLst/>
        </a:prstGeom>
        <a:noFill/>
        <a:ln w="9525">
          <a:noFill/>
        </a:ln>
      </xdr:spPr>
    </xdr:pic>
  </etc:cellImage>
  <etc:cellImage>
    <xdr:pic>
      <xdr:nvPicPr>
        <xdr:cNvPr id="790" name="ID_A14FB0EC3ABF431480DEC1295BBAC34F"/>
        <xdr:cNvPicPr>
          <a:picLocks noChangeAspect="1"/>
        </xdr:cNvPicPr>
      </xdr:nvPicPr>
      <xdr:blipFill>
        <a:blip r:embed="rId393"/>
        <a:stretch>
          <a:fillRect/>
        </a:stretch>
      </xdr:blipFill>
      <xdr:spPr>
        <a:xfrm>
          <a:off x="17868265" y="10591800"/>
          <a:ext cx="8191500" cy="3495675"/>
        </a:xfrm>
        <a:prstGeom prst="rect">
          <a:avLst/>
        </a:prstGeom>
        <a:noFill/>
        <a:ln w="9525">
          <a:noFill/>
        </a:ln>
      </xdr:spPr>
    </xdr:pic>
  </etc:cellImage>
  <etc:cellImage>
    <xdr:pic>
      <xdr:nvPicPr>
        <xdr:cNvPr id="791" name="ID_9BF66703E4524740AD45A1C52D71A235"/>
        <xdr:cNvPicPr>
          <a:picLocks noChangeAspect="1"/>
        </xdr:cNvPicPr>
      </xdr:nvPicPr>
      <xdr:blipFill>
        <a:blip r:embed="rId394"/>
        <a:stretch>
          <a:fillRect/>
        </a:stretch>
      </xdr:blipFill>
      <xdr:spPr>
        <a:xfrm>
          <a:off x="17868265" y="11430000"/>
          <a:ext cx="8696325" cy="5143500"/>
        </a:xfrm>
        <a:prstGeom prst="rect">
          <a:avLst/>
        </a:prstGeom>
        <a:noFill/>
        <a:ln w="9525">
          <a:noFill/>
        </a:ln>
      </xdr:spPr>
    </xdr:pic>
  </etc:cellImage>
  <etc:cellImage>
    <xdr:pic>
      <xdr:nvPicPr>
        <xdr:cNvPr id="792" name="ID_D457286FDB124609A98404EEA14538B0"/>
        <xdr:cNvPicPr>
          <a:picLocks noChangeAspect="1"/>
        </xdr:cNvPicPr>
      </xdr:nvPicPr>
      <xdr:blipFill>
        <a:blip r:embed="rId395"/>
        <a:stretch>
          <a:fillRect/>
        </a:stretch>
      </xdr:blipFill>
      <xdr:spPr>
        <a:xfrm>
          <a:off x="17868265" y="21697950"/>
          <a:ext cx="8477250" cy="2095500"/>
        </a:xfrm>
        <a:prstGeom prst="rect">
          <a:avLst/>
        </a:prstGeom>
        <a:noFill/>
        <a:ln w="9525">
          <a:noFill/>
        </a:ln>
      </xdr:spPr>
    </xdr:pic>
  </etc:cellImage>
  <etc:cellImage>
    <xdr:pic>
      <xdr:nvPicPr>
        <xdr:cNvPr id="793" name="ID_9CB0200072BE49ADB8F7062F965EAFA4"/>
        <xdr:cNvPicPr>
          <a:picLocks noChangeAspect="1"/>
        </xdr:cNvPicPr>
      </xdr:nvPicPr>
      <xdr:blipFill>
        <a:blip r:embed="rId396"/>
        <a:stretch>
          <a:fillRect/>
        </a:stretch>
      </xdr:blipFill>
      <xdr:spPr>
        <a:xfrm>
          <a:off x="17868265" y="11849100"/>
          <a:ext cx="8401050" cy="4219575"/>
        </a:xfrm>
        <a:prstGeom prst="rect">
          <a:avLst/>
        </a:prstGeom>
        <a:noFill/>
        <a:ln w="9525">
          <a:noFill/>
        </a:ln>
      </xdr:spPr>
    </xdr:pic>
  </etc:cellImage>
  <etc:cellImage>
    <xdr:pic>
      <xdr:nvPicPr>
        <xdr:cNvPr id="794" name="ID_D30D41AA65EB488FAFD89E1831B0EE2B"/>
        <xdr:cNvPicPr>
          <a:picLocks noChangeAspect="1"/>
        </xdr:cNvPicPr>
      </xdr:nvPicPr>
      <xdr:blipFill>
        <a:blip r:embed="rId397"/>
        <a:stretch>
          <a:fillRect/>
        </a:stretch>
      </xdr:blipFill>
      <xdr:spPr>
        <a:xfrm>
          <a:off x="17868265" y="12268200"/>
          <a:ext cx="4124325" cy="1047750"/>
        </a:xfrm>
        <a:prstGeom prst="rect">
          <a:avLst/>
        </a:prstGeom>
        <a:noFill/>
        <a:ln w="9525">
          <a:noFill/>
        </a:ln>
      </xdr:spPr>
    </xdr:pic>
  </etc:cellImage>
  <etc:cellImage>
    <xdr:pic>
      <xdr:nvPicPr>
        <xdr:cNvPr id="795" name="ID_2F94BBD59D0A4231974EDE6F59F43FA5"/>
        <xdr:cNvPicPr>
          <a:picLocks noChangeAspect="1"/>
        </xdr:cNvPicPr>
      </xdr:nvPicPr>
      <xdr:blipFill>
        <a:blip r:embed="rId398"/>
        <a:stretch>
          <a:fillRect/>
        </a:stretch>
      </xdr:blipFill>
      <xdr:spPr>
        <a:xfrm>
          <a:off x="17868265" y="13106400"/>
          <a:ext cx="7019925" cy="1628775"/>
        </a:xfrm>
        <a:prstGeom prst="rect">
          <a:avLst/>
        </a:prstGeom>
        <a:noFill/>
        <a:ln w="9525">
          <a:noFill/>
        </a:ln>
      </xdr:spPr>
    </xdr:pic>
  </etc:cellImage>
  <etc:cellImage>
    <xdr:pic>
      <xdr:nvPicPr>
        <xdr:cNvPr id="796" name="ID_2AA4460C3934492E82A33149114F5637"/>
        <xdr:cNvPicPr>
          <a:picLocks noChangeAspect="1"/>
        </xdr:cNvPicPr>
      </xdr:nvPicPr>
      <xdr:blipFill>
        <a:blip r:embed="rId399"/>
        <a:stretch>
          <a:fillRect/>
        </a:stretch>
      </xdr:blipFill>
      <xdr:spPr>
        <a:xfrm>
          <a:off x="17868265" y="13944600"/>
          <a:ext cx="6581775" cy="1247775"/>
        </a:xfrm>
        <a:prstGeom prst="rect">
          <a:avLst/>
        </a:prstGeom>
        <a:noFill/>
        <a:ln w="9525">
          <a:noFill/>
        </a:ln>
      </xdr:spPr>
    </xdr:pic>
  </etc:cellImage>
  <etc:cellImage>
    <xdr:pic>
      <xdr:nvPicPr>
        <xdr:cNvPr id="797" name="ID_1D3440EA02D04258A6E1AE733612E4D3"/>
        <xdr:cNvPicPr>
          <a:picLocks noChangeAspect="1"/>
        </xdr:cNvPicPr>
      </xdr:nvPicPr>
      <xdr:blipFill>
        <a:blip r:embed="rId400"/>
        <a:stretch>
          <a:fillRect/>
        </a:stretch>
      </xdr:blipFill>
      <xdr:spPr>
        <a:xfrm>
          <a:off x="17868265" y="14782800"/>
          <a:ext cx="8582025" cy="2295525"/>
        </a:xfrm>
        <a:prstGeom prst="rect">
          <a:avLst/>
        </a:prstGeom>
        <a:noFill/>
        <a:ln w="9525">
          <a:noFill/>
        </a:ln>
      </xdr:spPr>
    </xdr:pic>
  </etc:cellImage>
  <etc:cellImage>
    <xdr:pic>
      <xdr:nvPicPr>
        <xdr:cNvPr id="798" name="ID_27DACF5500AD45A6B4AADE954D4B7CF6"/>
        <xdr:cNvPicPr>
          <a:picLocks noChangeAspect="1"/>
        </xdr:cNvPicPr>
      </xdr:nvPicPr>
      <xdr:blipFill>
        <a:blip r:embed="rId401"/>
        <a:stretch>
          <a:fillRect/>
        </a:stretch>
      </xdr:blipFill>
      <xdr:spPr>
        <a:xfrm>
          <a:off x="17868265" y="15621000"/>
          <a:ext cx="8505825" cy="2695575"/>
        </a:xfrm>
        <a:prstGeom prst="rect">
          <a:avLst/>
        </a:prstGeom>
        <a:noFill/>
        <a:ln w="9525">
          <a:noFill/>
        </a:ln>
      </xdr:spPr>
    </xdr:pic>
  </etc:cellImage>
  <etc:cellImage>
    <xdr:pic>
      <xdr:nvPicPr>
        <xdr:cNvPr id="799" name="ID_53A13C0B05734625B42D677A3A85516E"/>
        <xdr:cNvPicPr>
          <a:picLocks noChangeAspect="1"/>
        </xdr:cNvPicPr>
      </xdr:nvPicPr>
      <xdr:blipFill>
        <a:blip r:embed="rId402"/>
        <a:stretch>
          <a:fillRect/>
        </a:stretch>
      </xdr:blipFill>
      <xdr:spPr>
        <a:xfrm>
          <a:off x="17868265" y="16040100"/>
          <a:ext cx="3143250" cy="1085850"/>
        </a:xfrm>
        <a:prstGeom prst="rect">
          <a:avLst/>
        </a:prstGeom>
        <a:noFill/>
        <a:ln w="9525">
          <a:noFill/>
        </a:ln>
      </xdr:spPr>
    </xdr:pic>
  </etc:cellImage>
  <etc:cellImage>
    <xdr:pic>
      <xdr:nvPicPr>
        <xdr:cNvPr id="800" name="ID_7C5A187B70094BB8B62553B488FEBE35"/>
        <xdr:cNvPicPr>
          <a:picLocks noChangeAspect="1"/>
        </xdr:cNvPicPr>
      </xdr:nvPicPr>
      <xdr:blipFill>
        <a:blip r:embed="rId403"/>
        <a:stretch>
          <a:fillRect/>
        </a:stretch>
      </xdr:blipFill>
      <xdr:spPr>
        <a:xfrm>
          <a:off x="17868265" y="26517600"/>
          <a:ext cx="9134475" cy="4667250"/>
        </a:xfrm>
        <a:prstGeom prst="rect">
          <a:avLst/>
        </a:prstGeom>
        <a:noFill/>
        <a:ln w="9525">
          <a:noFill/>
        </a:ln>
      </xdr:spPr>
    </xdr:pic>
  </etc:cellImage>
  <etc:cellImage>
    <xdr:pic>
      <xdr:nvPicPr>
        <xdr:cNvPr id="801" name="ID_D1FB6B37C1E7408FA2840BF6C1ED142C"/>
        <xdr:cNvPicPr>
          <a:picLocks noChangeAspect="1"/>
        </xdr:cNvPicPr>
      </xdr:nvPicPr>
      <xdr:blipFill>
        <a:blip r:embed="rId404"/>
        <a:stretch>
          <a:fillRect/>
        </a:stretch>
      </xdr:blipFill>
      <xdr:spPr>
        <a:xfrm>
          <a:off x="17868265" y="16459200"/>
          <a:ext cx="8410575" cy="2857500"/>
        </a:xfrm>
        <a:prstGeom prst="rect">
          <a:avLst/>
        </a:prstGeom>
        <a:noFill/>
        <a:ln w="9525">
          <a:noFill/>
        </a:ln>
      </xdr:spPr>
    </xdr:pic>
  </etc:cellImage>
  <etc:cellImage>
    <xdr:pic>
      <xdr:nvPicPr>
        <xdr:cNvPr id="802" name="ID_70152921C6D04D27993FA13728927297"/>
        <xdr:cNvPicPr>
          <a:picLocks noChangeAspect="1"/>
        </xdr:cNvPicPr>
      </xdr:nvPicPr>
      <xdr:blipFill>
        <a:blip r:embed="rId405"/>
        <a:stretch>
          <a:fillRect/>
        </a:stretch>
      </xdr:blipFill>
      <xdr:spPr>
        <a:xfrm>
          <a:off x="17868265" y="17297400"/>
          <a:ext cx="8181975" cy="2752725"/>
        </a:xfrm>
        <a:prstGeom prst="rect">
          <a:avLst/>
        </a:prstGeom>
        <a:noFill/>
        <a:ln w="9525">
          <a:noFill/>
        </a:ln>
      </xdr:spPr>
    </xdr:pic>
  </etc:cellImage>
  <etc:cellImage>
    <xdr:pic>
      <xdr:nvPicPr>
        <xdr:cNvPr id="803" name="ID_77F7912CBF404ABBBF8DB17145675F8F"/>
        <xdr:cNvPicPr>
          <a:picLocks noChangeAspect="1"/>
        </xdr:cNvPicPr>
      </xdr:nvPicPr>
      <xdr:blipFill>
        <a:blip r:embed="rId406"/>
        <a:stretch>
          <a:fillRect/>
        </a:stretch>
      </xdr:blipFill>
      <xdr:spPr>
        <a:xfrm>
          <a:off x="17868265" y="18135600"/>
          <a:ext cx="8382000" cy="1285875"/>
        </a:xfrm>
        <a:prstGeom prst="rect">
          <a:avLst/>
        </a:prstGeom>
        <a:noFill/>
        <a:ln w="9525">
          <a:noFill/>
        </a:ln>
      </xdr:spPr>
    </xdr:pic>
  </etc:cellImage>
  <etc:cellImage>
    <xdr:pic>
      <xdr:nvPicPr>
        <xdr:cNvPr id="804" name="ID_4B63EB874442448598599EBDC00DD398"/>
        <xdr:cNvPicPr>
          <a:picLocks noChangeAspect="1"/>
        </xdr:cNvPicPr>
      </xdr:nvPicPr>
      <xdr:blipFill>
        <a:blip r:embed="rId407"/>
        <a:stretch>
          <a:fillRect/>
        </a:stretch>
      </xdr:blipFill>
      <xdr:spPr>
        <a:xfrm>
          <a:off x="17868265" y="18554700"/>
          <a:ext cx="8448675" cy="1409700"/>
        </a:xfrm>
        <a:prstGeom prst="rect">
          <a:avLst/>
        </a:prstGeom>
        <a:noFill/>
        <a:ln w="9525">
          <a:noFill/>
        </a:ln>
      </xdr:spPr>
    </xdr:pic>
  </etc:cellImage>
  <etc:cellImage>
    <xdr:pic>
      <xdr:nvPicPr>
        <xdr:cNvPr id="805" name="ID_9D8B2437E11D40BB96F61BB32B6005EF"/>
        <xdr:cNvPicPr>
          <a:picLocks noChangeAspect="1"/>
        </xdr:cNvPicPr>
      </xdr:nvPicPr>
      <xdr:blipFill>
        <a:blip r:embed="rId408"/>
        <a:stretch>
          <a:fillRect/>
        </a:stretch>
      </xdr:blipFill>
      <xdr:spPr>
        <a:xfrm>
          <a:off x="17868265" y="18973800"/>
          <a:ext cx="8458200" cy="1295400"/>
        </a:xfrm>
        <a:prstGeom prst="rect">
          <a:avLst/>
        </a:prstGeom>
        <a:noFill/>
        <a:ln w="9525">
          <a:noFill/>
        </a:ln>
      </xdr:spPr>
    </xdr:pic>
  </etc:cellImage>
  <etc:cellImage>
    <xdr:pic>
      <xdr:nvPicPr>
        <xdr:cNvPr id="806" name="ID_7BA6F6EEC45742C38E591C014FFDF5DE"/>
        <xdr:cNvPicPr>
          <a:picLocks noChangeAspect="1"/>
        </xdr:cNvPicPr>
      </xdr:nvPicPr>
      <xdr:blipFill>
        <a:blip r:embed="rId409"/>
        <a:stretch>
          <a:fillRect/>
        </a:stretch>
      </xdr:blipFill>
      <xdr:spPr>
        <a:xfrm>
          <a:off x="17868265" y="19392900"/>
          <a:ext cx="8324850" cy="1314450"/>
        </a:xfrm>
        <a:prstGeom prst="rect">
          <a:avLst/>
        </a:prstGeom>
        <a:noFill/>
        <a:ln w="9525">
          <a:noFill/>
        </a:ln>
      </xdr:spPr>
    </xdr:pic>
  </etc:cellImage>
  <etc:cellImage>
    <xdr:pic>
      <xdr:nvPicPr>
        <xdr:cNvPr id="807" name="ID_AC18AD4C3A4343CFB158B8F5FA16F6E5"/>
        <xdr:cNvPicPr>
          <a:picLocks noChangeAspect="1"/>
        </xdr:cNvPicPr>
      </xdr:nvPicPr>
      <xdr:blipFill>
        <a:blip r:embed="rId410"/>
        <a:stretch>
          <a:fillRect/>
        </a:stretch>
      </xdr:blipFill>
      <xdr:spPr>
        <a:xfrm>
          <a:off x="17868265" y="20440650"/>
          <a:ext cx="8743950" cy="2133600"/>
        </a:xfrm>
        <a:prstGeom prst="rect">
          <a:avLst/>
        </a:prstGeom>
        <a:noFill/>
        <a:ln w="9525">
          <a:noFill/>
        </a:ln>
      </xdr:spPr>
    </xdr:pic>
  </etc:cellImage>
  <etc:cellImage>
    <xdr:pic>
      <xdr:nvPicPr>
        <xdr:cNvPr id="808" name="ID_4AF19A16F290418283AAD081E5D7E795"/>
        <xdr:cNvPicPr>
          <a:picLocks noChangeAspect="1"/>
        </xdr:cNvPicPr>
      </xdr:nvPicPr>
      <xdr:blipFill>
        <a:blip r:embed="rId411"/>
        <a:stretch>
          <a:fillRect/>
        </a:stretch>
      </xdr:blipFill>
      <xdr:spPr>
        <a:xfrm>
          <a:off x="17868265" y="23164800"/>
          <a:ext cx="8001000" cy="3162300"/>
        </a:xfrm>
        <a:prstGeom prst="rect">
          <a:avLst/>
        </a:prstGeom>
        <a:noFill/>
        <a:ln w="9525">
          <a:noFill/>
        </a:ln>
      </xdr:spPr>
    </xdr:pic>
  </etc:cellImage>
  <etc:cellImage>
    <xdr:pic>
      <xdr:nvPicPr>
        <xdr:cNvPr id="809" name="ID_EBE4BB20F108413DB0AB44C6EAC9CFBA"/>
        <xdr:cNvPicPr>
          <a:picLocks noChangeAspect="1"/>
        </xdr:cNvPicPr>
      </xdr:nvPicPr>
      <xdr:blipFill>
        <a:blip r:embed="rId412"/>
        <a:stretch>
          <a:fillRect/>
        </a:stretch>
      </xdr:blipFill>
      <xdr:spPr>
        <a:xfrm>
          <a:off x="17868265" y="24631650"/>
          <a:ext cx="8515350" cy="3048000"/>
        </a:xfrm>
        <a:prstGeom prst="rect">
          <a:avLst/>
        </a:prstGeom>
        <a:noFill/>
        <a:ln w="9525">
          <a:noFill/>
        </a:ln>
      </xdr:spPr>
    </xdr:pic>
  </etc:cellImage>
  <etc:cellImage>
    <xdr:pic>
      <xdr:nvPicPr>
        <xdr:cNvPr id="810" name="ID_318EBD5FC47C4A238EE609C80341D9AD"/>
        <xdr:cNvPicPr>
          <a:picLocks noChangeAspect="1"/>
        </xdr:cNvPicPr>
      </xdr:nvPicPr>
      <xdr:blipFill>
        <a:blip r:embed="rId413"/>
        <a:stretch>
          <a:fillRect/>
        </a:stretch>
      </xdr:blipFill>
      <xdr:spPr>
        <a:xfrm>
          <a:off x="17868265" y="25888950"/>
          <a:ext cx="8391525" cy="1781175"/>
        </a:xfrm>
        <a:prstGeom prst="rect">
          <a:avLst/>
        </a:prstGeom>
        <a:noFill/>
        <a:ln w="9525">
          <a:noFill/>
        </a:ln>
      </xdr:spPr>
    </xdr:pic>
  </etc:cellImage>
  <etc:cellImage>
    <xdr:pic>
      <xdr:nvPicPr>
        <xdr:cNvPr id="811" name="ID_9035E38C43FD4D5798BF0C536F86621C"/>
        <xdr:cNvPicPr>
          <a:picLocks noChangeAspect="1"/>
        </xdr:cNvPicPr>
      </xdr:nvPicPr>
      <xdr:blipFill>
        <a:blip r:embed="rId414"/>
        <a:stretch>
          <a:fillRect/>
        </a:stretch>
      </xdr:blipFill>
      <xdr:spPr>
        <a:xfrm>
          <a:off x="17868265" y="29032200"/>
          <a:ext cx="8753475" cy="2390775"/>
        </a:xfrm>
        <a:prstGeom prst="rect">
          <a:avLst/>
        </a:prstGeom>
        <a:noFill/>
        <a:ln w="9525">
          <a:noFill/>
        </a:ln>
      </xdr:spPr>
    </xdr:pic>
  </etc:cellImage>
  <etc:cellImage>
    <xdr:pic>
      <xdr:nvPicPr>
        <xdr:cNvPr id="812" name="ID_3547C8D18B34496FAE1FCFD09A3F8649"/>
        <xdr:cNvPicPr>
          <a:picLocks noChangeAspect="1"/>
        </xdr:cNvPicPr>
      </xdr:nvPicPr>
      <xdr:blipFill>
        <a:blip r:embed="rId415"/>
        <a:stretch>
          <a:fillRect/>
        </a:stretch>
      </xdr:blipFill>
      <xdr:spPr>
        <a:xfrm>
          <a:off x="17868265" y="29451300"/>
          <a:ext cx="8820150" cy="3609975"/>
        </a:xfrm>
        <a:prstGeom prst="rect">
          <a:avLst/>
        </a:prstGeom>
        <a:noFill/>
        <a:ln w="9525">
          <a:noFill/>
        </a:ln>
      </xdr:spPr>
    </xdr:pic>
  </etc:cellImage>
  <etc:cellImage>
    <xdr:pic>
      <xdr:nvPicPr>
        <xdr:cNvPr id="813" name="ID_C0FB8E5FFB374391A2FA05395954A40E"/>
        <xdr:cNvPicPr>
          <a:picLocks noChangeAspect="1"/>
        </xdr:cNvPicPr>
      </xdr:nvPicPr>
      <xdr:blipFill>
        <a:blip r:embed="rId416"/>
        <a:stretch>
          <a:fillRect/>
        </a:stretch>
      </xdr:blipFill>
      <xdr:spPr>
        <a:xfrm>
          <a:off x="18483580" y="1371600"/>
          <a:ext cx="8505825" cy="3076575"/>
        </a:xfrm>
        <a:prstGeom prst="rect">
          <a:avLst/>
        </a:prstGeom>
        <a:noFill/>
        <a:ln w="9525">
          <a:noFill/>
        </a:ln>
      </xdr:spPr>
    </xdr:pic>
  </etc:cellImage>
  <etc:cellImage>
    <xdr:pic>
      <xdr:nvPicPr>
        <xdr:cNvPr id="814" name="ID_A28358FD34EF49B5AC8F553FD9F86206"/>
        <xdr:cNvPicPr>
          <a:picLocks noChangeAspect="1"/>
        </xdr:cNvPicPr>
      </xdr:nvPicPr>
      <xdr:blipFill>
        <a:blip r:embed="rId417"/>
        <a:stretch>
          <a:fillRect/>
        </a:stretch>
      </xdr:blipFill>
      <xdr:spPr>
        <a:xfrm>
          <a:off x="18483580" y="21399500"/>
          <a:ext cx="8001000" cy="3143250"/>
        </a:xfrm>
        <a:prstGeom prst="rect">
          <a:avLst/>
        </a:prstGeom>
        <a:noFill/>
        <a:ln w="9525">
          <a:noFill/>
        </a:ln>
      </xdr:spPr>
    </xdr:pic>
  </etc:cellImage>
  <etc:cellImage>
    <xdr:pic>
      <xdr:nvPicPr>
        <xdr:cNvPr id="815" name="ID_06FF80DB229D4232A5B3991113B3A8E3"/>
        <xdr:cNvPicPr>
          <a:picLocks noChangeAspect="1"/>
        </xdr:cNvPicPr>
      </xdr:nvPicPr>
      <xdr:blipFill>
        <a:blip r:embed="rId418"/>
        <a:stretch>
          <a:fillRect/>
        </a:stretch>
      </xdr:blipFill>
      <xdr:spPr>
        <a:xfrm>
          <a:off x="18483580" y="952500"/>
          <a:ext cx="8515350" cy="3048000"/>
        </a:xfrm>
        <a:prstGeom prst="rect">
          <a:avLst/>
        </a:prstGeom>
        <a:noFill/>
        <a:ln w="9525">
          <a:noFill/>
        </a:ln>
      </xdr:spPr>
    </xdr:pic>
  </etc:cellImage>
  <etc:cellImage>
    <xdr:pic>
      <xdr:nvPicPr>
        <xdr:cNvPr id="816" name="ID_616510B04EF74855BF9ABB3FA205E23A"/>
        <xdr:cNvPicPr>
          <a:picLocks noChangeAspect="1"/>
        </xdr:cNvPicPr>
      </xdr:nvPicPr>
      <xdr:blipFill>
        <a:blip r:embed="rId419"/>
        <a:stretch>
          <a:fillRect/>
        </a:stretch>
      </xdr:blipFill>
      <xdr:spPr>
        <a:xfrm>
          <a:off x="18483580" y="1790700"/>
          <a:ext cx="8486775" cy="3105150"/>
        </a:xfrm>
        <a:prstGeom prst="rect">
          <a:avLst/>
        </a:prstGeom>
        <a:noFill/>
        <a:ln w="9525">
          <a:noFill/>
        </a:ln>
      </xdr:spPr>
    </xdr:pic>
  </etc:cellImage>
  <etc:cellImage>
    <xdr:pic>
      <xdr:nvPicPr>
        <xdr:cNvPr id="817" name="ID_B85BACCCA8CB4947A0C06C29B9E78ADF"/>
        <xdr:cNvPicPr>
          <a:picLocks noChangeAspect="1"/>
        </xdr:cNvPicPr>
      </xdr:nvPicPr>
      <xdr:blipFill>
        <a:blip r:embed="rId420"/>
        <a:stretch>
          <a:fillRect/>
        </a:stretch>
      </xdr:blipFill>
      <xdr:spPr>
        <a:xfrm>
          <a:off x="18483580" y="12179300"/>
          <a:ext cx="7915275" cy="3057525"/>
        </a:xfrm>
        <a:prstGeom prst="rect">
          <a:avLst/>
        </a:prstGeom>
        <a:noFill/>
        <a:ln w="9525">
          <a:noFill/>
        </a:ln>
      </xdr:spPr>
    </xdr:pic>
  </etc:cellImage>
  <etc:cellImage>
    <xdr:pic>
      <xdr:nvPicPr>
        <xdr:cNvPr id="818" name="ID_D97A8681A2264D84A98292A77E8CDE97"/>
        <xdr:cNvPicPr>
          <a:picLocks noChangeAspect="1"/>
        </xdr:cNvPicPr>
      </xdr:nvPicPr>
      <xdr:blipFill>
        <a:blip r:embed="rId421"/>
        <a:stretch>
          <a:fillRect/>
        </a:stretch>
      </xdr:blipFill>
      <xdr:spPr>
        <a:xfrm>
          <a:off x="18483580" y="21818600"/>
          <a:ext cx="8039100" cy="1819275"/>
        </a:xfrm>
        <a:prstGeom prst="rect">
          <a:avLst/>
        </a:prstGeom>
        <a:noFill/>
        <a:ln w="9525">
          <a:noFill/>
        </a:ln>
      </xdr:spPr>
    </xdr:pic>
  </etc:cellImage>
  <etc:cellImage>
    <xdr:pic>
      <xdr:nvPicPr>
        <xdr:cNvPr id="819" name="ID_536011F26E86458484F751CC7831BB47"/>
        <xdr:cNvPicPr>
          <a:picLocks noChangeAspect="1"/>
        </xdr:cNvPicPr>
      </xdr:nvPicPr>
      <xdr:blipFill>
        <a:blip r:embed="rId422"/>
        <a:stretch>
          <a:fillRect/>
        </a:stretch>
      </xdr:blipFill>
      <xdr:spPr>
        <a:xfrm>
          <a:off x="18483580" y="32505650"/>
          <a:ext cx="7534275" cy="1571625"/>
        </a:xfrm>
        <a:prstGeom prst="rect">
          <a:avLst/>
        </a:prstGeom>
        <a:noFill/>
        <a:ln w="9525">
          <a:noFill/>
        </a:ln>
      </xdr:spPr>
    </xdr:pic>
  </etc:cellImage>
  <etc:cellImage>
    <xdr:pic>
      <xdr:nvPicPr>
        <xdr:cNvPr id="820" name="ID_A3E406607B4747E9BE394F411334181D"/>
        <xdr:cNvPicPr>
          <a:picLocks noChangeAspect="1"/>
        </xdr:cNvPicPr>
      </xdr:nvPicPr>
      <xdr:blipFill>
        <a:blip r:embed="rId423"/>
        <a:stretch>
          <a:fillRect/>
        </a:stretch>
      </xdr:blipFill>
      <xdr:spPr>
        <a:xfrm>
          <a:off x="18483580" y="22656800"/>
          <a:ext cx="7486650" cy="2095500"/>
        </a:xfrm>
        <a:prstGeom prst="rect">
          <a:avLst/>
        </a:prstGeom>
        <a:noFill/>
        <a:ln w="9525">
          <a:noFill/>
        </a:ln>
      </xdr:spPr>
    </xdr:pic>
  </etc:cellImage>
  <etc:cellImage>
    <xdr:pic>
      <xdr:nvPicPr>
        <xdr:cNvPr id="821" name="ID_A04F827174284EA5B1EB746A6BB3A6C7"/>
        <xdr:cNvPicPr>
          <a:picLocks noChangeAspect="1"/>
        </xdr:cNvPicPr>
      </xdr:nvPicPr>
      <xdr:blipFill>
        <a:blip r:embed="rId424"/>
        <a:stretch>
          <a:fillRect/>
        </a:stretch>
      </xdr:blipFill>
      <xdr:spPr>
        <a:xfrm>
          <a:off x="18483580" y="2628900"/>
          <a:ext cx="7896225" cy="1333500"/>
        </a:xfrm>
        <a:prstGeom prst="rect">
          <a:avLst/>
        </a:prstGeom>
        <a:noFill/>
        <a:ln w="9525">
          <a:noFill/>
        </a:ln>
      </xdr:spPr>
    </xdr:pic>
  </etc:cellImage>
  <etc:cellImage>
    <xdr:pic>
      <xdr:nvPicPr>
        <xdr:cNvPr id="822" name="ID_8FDE9AA8BE6446E7835B800B0EFBD9A4"/>
        <xdr:cNvPicPr>
          <a:picLocks noChangeAspect="1"/>
        </xdr:cNvPicPr>
      </xdr:nvPicPr>
      <xdr:blipFill>
        <a:blip r:embed="rId425"/>
        <a:stretch>
          <a:fillRect/>
        </a:stretch>
      </xdr:blipFill>
      <xdr:spPr>
        <a:xfrm>
          <a:off x="18483580" y="13017500"/>
          <a:ext cx="8210550" cy="1828800"/>
        </a:xfrm>
        <a:prstGeom prst="rect">
          <a:avLst/>
        </a:prstGeom>
        <a:noFill/>
        <a:ln w="9525">
          <a:noFill/>
        </a:ln>
      </xdr:spPr>
    </xdr:pic>
  </etc:cellImage>
  <etc:cellImage>
    <xdr:pic>
      <xdr:nvPicPr>
        <xdr:cNvPr id="823" name="ID_5247CEAFCD064BE9AA90D4E31F977296"/>
        <xdr:cNvPicPr>
          <a:picLocks noChangeAspect="1"/>
        </xdr:cNvPicPr>
      </xdr:nvPicPr>
      <xdr:blipFill>
        <a:blip r:embed="rId426"/>
        <a:stretch>
          <a:fillRect/>
        </a:stretch>
      </xdr:blipFill>
      <xdr:spPr>
        <a:xfrm>
          <a:off x="18483580" y="2209800"/>
          <a:ext cx="7953375" cy="1905000"/>
        </a:xfrm>
        <a:prstGeom prst="rect">
          <a:avLst/>
        </a:prstGeom>
        <a:noFill/>
        <a:ln w="9525">
          <a:noFill/>
        </a:ln>
      </xdr:spPr>
    </xdr:pic>
  </etc:cellImage>
  <etc:cellImage>
    <xdr:pic>
      <xdr:nvPicPr>
        <xdr:cNvPr id="824" name="ID_B9AE555E27BC412799DC575B5A823440"/>
        <xdr:cNvPicPr>
          <a:picLocks noChangeAspect="1"/>
        </xdr:cNvPicPr>
      </xdr:nvPicPr>
      <xdr:blipFill>
        <a:blip r:embed="rId427"/>
        <a:stretch>
          <a:fillRect/>
        </a:stretch>
      </xdr:blipFill>
      <xdr:spPr>
        <a:xfrm>
          <a:off x="18483580" y="3048000"/>
          <a:ext cx="7962900" cy="1257300"/>
        </a:xfrm>
        <a:prstGeom prst="rect">
          <a:avLst/>
        </a:prstGeom>
        <a:noFill/>
        <a:ln w="9525">
          <a:noFill/>
        </a:ln>
      </xdr:spPr>
    </xdr:pic>
  </etc:cellImage>
  <etc:cellImage>
    <xdr:pic>
      <xdr:nvPicPr>
        <xdr:cNvPr id="825" name="ID_CB8FA96816BA42C49ADE4AFB73C79A9F"/>
        <xdr:cNvPicPr>
          <a:picLocks noChangeAspect="1"/>
        </xdr:cNvPicPr>
      </xdr:nvPicPr>
      <xdr:blipFill>
        <a:blip r:embed="rId428"/>
        <a:stretch>
          <a:fillRect/>
        </a:stretch>
      </xdr:blipFill>
      <xdr:spPr>
        <a:xfrm>
          <a:off x="18483580" y="23285450"/>
          <a:ext cx="8020050" cy="3114675"/>
        </a:xfrm>
        <a:prstGeom prst="rect">
          <a:avLst/>
        </a:prstGeom>
        <a:noFill/>
        <a:ln w="9525">
          <a:noFill/>
        </a:ln>
      </xdr:spPr>
    </xdr:pic>
  </etc:cellImage>
  <etc:cellImage>
    <xdr:pic>
      <xdr:nvPicPr>
        <xdr:cNvPr id="826" name="ID_F8B89237A7ED4A5097EA02E727AA7408"/>
        <xdr:cNvPicPr>
          <a:picLocks noChangeAspect="1"/>
        </xdr:cNvPicPr>
      </xdr:nvPicPr>
      <xdr:blipFill>
        <a:blip r:embed="rId429"/>
        <a:stretch>
          <a:fillRect/>
        </a:stretch>
      </xdr:blipFill>
      <xdr:spPr>
        <a:xfrm>
          <a:off x="18483580" y="3676650"/>
          <a:ext cx="7886700" cy="2047875"/>
        </a:xfrm>
        <a:prstGeom prst="rect">
          <a:avLst/>
        </a:prstGeom>
        <a:noFill/>
        <a:ln w="9525">
          <a:noFill/>
        </a:ln>
      </xdr:spPr>
    </xdr:pic>
  </etc:cellImage>
  <etc:cellImage>
    <xdr:pic>
      <xdr:nvPicPr>
        <xdr:cNvPr id="827" name="ID_1731817C96CA43A5B57444F494442E62"/>
        <xdr:cNvPicPr>
          <a:picLocks noChangeAspect="1"/>
        </xdr:cNvPicPr>
      </xdr:nvPicPr>
      <xdr:blipFill>
        <a:blip r:embed="rId430"/>
        <a:stretch>
          <a:fillRect/>
        </a:stretch>
      </xdr:blipFill>
      <xdr:spPr>
        <a:xfrm>
          <a:off x="18483580" y="13855700"/>
          <a:ext cx="7934325" cy="3095625"/>
        </a:xfrm>
        <a:prstGeom prst="rect">
          <a:avLst/>
        </a:prstGeom>
        <a:noFill/>
        <a:ln w="9525">
          <a:noFill/>
        </a:ln>
      </xdr:spPr>
    </xdr:pic>
  </etc:cellImage>
  <etc:cellImage>
    <xdr:pic>
      <xdr:nvPicPr>
        <xdr:cNvPr id="828" name="ID_C30D9979BCDE414496570D2C1AD52B42"/>
        <xdr:cNvPicPr>
          <a:picLocks noChangeAspect="1"/>
        </xdr:cNvPicPr>
      </xdr:nvPicPr>
      <xdr:blipFill>
        <a:blip r:embed="rId431"/>
        <a:stretch>
          <a:fillRect/>
        </a:stretch>
      </xdr:blipFill>
      <xdr:spPr>
        <a:xfrm>
          <a:off x="18483580" y="24123650"/>
          <a:ext cx="7515225" cy="3076575"/>
        </a:xfrm>
        <a:prstGeom prst="rect">
          <a:avLst/>
        </a:prstGeom>
        <a:noFill/>
        <a:ln w="9525">
          <a:noFill/>
        </a:ln>
      </xdr:spPr>
    </xdr:pic>
  </etc:cellImage>
  <etc:cellImage>
    <xdr:pic>
      <xdr:nvPicPr>
        <xdr:cNvPr id="829" name="ID_17247047AF4C4BCB806F8C4254F30527"/>
        <xdr:cNvPicPr>
          <a:picLocks noChangeAspect="1"/>
        </xdr:cNvPicPr>
      </xdr:nvPicPr>
      <xdr:blipFill>
        <a:blip r:embed="rId432"/>
        <a:stretch>
          <a:fillRect/>
        </a:stretch>
      </xdr:blipFill>
      <xdr:spPr>
        <a:xfrm>
          <a:off x="18483580" y="3467100"/>
          <a:ext cx="8001000" cy="1447800"/>
        </a:xfrm>
        <a:prstGeom prst="rect">
          <a:avLst/>
        </a:prstGeom>
        <a:noFill/>
        <a:ln w="9525">
          <a:noFill/>
        </a:ln>
      </xdr:spPr>
    </xdr:pic>
  </etc:cellImage>
  <etc:cellImage>
    <xdr:pic>
      <xdr:nvPicPr>
        <xdr:cNvPr id="830" name="ID_B90D4685E1E44F26AC563938122632C1"/>
        <xdr:cNvPicPr>
          <a:picLocks noChangeAspect="1"/>
        </xdr:cNvPicPr>
      </xdr:nvPicPr>
      <xdr:blipFill>
        <a:blip r:embed="rId433"/>
        <a:stretch>
          <a:fillRect/>
        </a:stretch>
      </xdr:blipFill>
      <xdr:spPr>
        <a:xfrm>
          <a:off x="18483580" y="34182050"/>
          <a:ext cx="7934325" cy="3038475"/>
        </a:xfrm>
        <a:prstGeom prst="rect">
          <a:avLst/>
        </a:prstGeom>
        <a:noFill/>
        <a:ln w="9525">
          <a:noFill/>
        </a:ln>
      </xdr:spPr>
    </xdr:pic>
  </etc:cellImage>
  <etc:cellImage>
    <xdr:pic>
      <xdr:nvPicPr>
        <xdr:cNvPr id="831" name="ID_C42187C4ACF547F1A22DA49669677CB7"/>
        <xdr:cNvPicPr>
          <a:picLocks noChangeAspect="1"/>
        </xdr:cNvPicPr>
      </xdr:nvPicPr>
      <xdr:blipFill>
        <a:blip r:embed="rId434"/>
        <a:stretch>
          <a:fillRect/>
        </a:stretch>
      </xdr:blipFill>
      <xdr:spPr>
        <a:xfrm>
          <a:off x="18483580" y="24542750"/>
          <a:ext cx="7629525" cy="2085975"/>
        </a:xfrm>
        <a:prstGeom prst="rect">
          <a:avLst/>
        </a:prstGeom>
        <a:noFill/>
        <a:ln w="9525">
          <a:noFill/>
        </a:ln>
      </xdr:spPr>
    </xdr:pic>
  </etc:cellImage>
  <etc:cellImage>
    <xdr:pic>
      <xdr:nvPicPr>
        <xdr:cNvPr id="832" name="ID_A350A0BF890E4B6396AE143BA26C3D60"/>
        <xdr:cNvPicPr>
          <a:picLocks noChangeAspect="1"/>
        </xdr:cNvPicPr>
      </xdr:nvPicPr>
      <xdr:blipFill>
        <a:blip r:embed="rId435"/>
        <a:stretch>
          <a:fillRect/>
        </a:stretch>
      </xdr:blipFill>
      <xdr:spPr>
        <a:xfrm>
          <a:off x="18483580" y="4305300"/>
          <a:ext cx="8001000" cy="1447800"/>
        </a:xfrm>
        <a:prstGeom prst="rect">
          <a:avLst/>
        </a:prstGeom>
        <a:noFill/>
        <a:ln w="9525">
          <a:noFill/>
        </a:ln>
      </xdr:spPr>
    </xdr:pic>
  </etc:cellImage>
  <etc:cellImage>
    <xdr:pic>
      <xdr:nvPicPr>
        <xdr:cNvPr id="833" name="ID_9013F612402043BE9E13125598FA387F"/>
        <xdr:cNvPicPr>
          <a:picLocks noChangeAspect="1"/>
        </xdr:cNvPicPr>
      </xdr:nvPicPr>
      <xdr:blipFill>
        <a:blip r:embed="rId436"/>
        <a:stretch>
          <a:fillRect/>
        </a:stretch>
      </xdr:blipFill>
      <xdr:spPr>
        <a:xfrm>
          <a:off x="18483580" y="14693900"/>
          <a:ext cx="7515225" cy="1533525"/>
        </a:xfrm>
        <a:prstGeom prst="rect">
          <a:avLst/>
        </a:prstGeom>
        <a:noFill/>
        <a:ln w="9525">
          <a:noFill/>
        </a:ln>
      </xdr:spPr>
    </xdr:pic>
  </etc:cellImage>
  <etc:cellImage>
    <xdr:pic>
      <xdr:nvPicPr>
        <xdr:cNvPr id="834" name="ID_D23CDB35367F402CB08ADF94471C514D"/>
        <xdr:cNvPicPr>
          <a:picLocks noChangeAspect="1"/>
        </xdr:cNvPicPr>
      </xdr:nvPicPr>
      <xdr:blipFill>
        <a:blip r:embed="rId437"/>
        <a:stretch>
          <a:fillRect/>
        </a:stretch>
      </xdr:blipFill>
      <xdr:spPr>
        <a:xfrm>
          <a:off x="18483580" y="4724400"/>
          <a:ext cx="8353425" cy="3076575"/>
        </a:xfrm>
        <a:prstGeom prst="rect">
          <a:avLst/>
        </a:prstGeom>
        <a:noFill/>
        <a:ln w="9525">
          <a:noFill/>
        </a:ln>
      </xdr:spPr>
    </xdr:pic>
  </etc:cellImage>
  <etc:cellImage>
    <xdr:pic>
      <xdr:nvPicPr>
        <xdr:cNvPr id="835" name="ID_9C1011A7247D438AABEA22CB12555E2E"/>
        <xdr:cNvPicPr>
          <a:picLocks noChangeAspect="1"/>
        </xdr:cNvPicPr>
      </xdr:nvPicPr>
      <xdr:blipFill>
        <a:blip r:embed="rId438"/>
        <a:stretch>
          <a:fillRect/>
        </a:stretch>
      </xdr:blipFill>
      <xdr:spPr>
        <a:xfrm>
          <a:off x="18483580" y="5473700"/>
          <a:ext cx="2314575" cy="1924050"/>
        </a:xfrm>
        <a:prstGeom prst="rect">
          <a:avLst/>
        </a:prstGeom>
        <a:noFill/>
        <a:ln w="9525">
          <a:noFill/>
        </a:ln>
      </xdr:spPr>
    </xdr:pic>
  </etc:cellImage>
  <etc:cellImage>
    <xdr:pic>
      <xdr:nvPicPr>
        <xdr:cNvPr id="836" name="ID_D27B3B13C493497498B71BAD11D54836"/>
        <xdr:cNvPicPr>
          <a:picLocks noChangeAspect="1"/>
        </xdr:cNvPicPr>
      </xdr:nvPicPr>
      <xdr:blipFill>
        <a:blip r:embed="rId439"/>
        <a:stretch>
          <a:fillRect/>
        </a:stretch>
      </xdr:blipFill>
      <xdr:spPr>
        <a:xfrm>
          <a:off x="18483580" y="25800050"/>
          <a:ext cx="7972425" cy="1771650"/>
        </a:xfrm>
        <a:prstGeom prst="rect">
          <a:avLst/>
        </a:prstGeom>
        <a:noFill/>
        <a:ln w="9525">
          <a:noFill/>
        </a:ln>
      </xdr:spPr>
    </xdr:pic>
  </etc:cellImage>
  <etc:cellImage>
    <xdr:pic>
      <xdr:nvPicPr>
        <xdr:cNvPr id="837" name="ID_7144B63ED10C4C5CA98C84986E921917"/>
        <xdr:cNvPicPr>
          <a:picLocks noChangeAspect="1"/>
        </xdr:cNvPicPr>
      </xdr:nvPicPr>
      <xdr:blipFill>
        <a:blip r:embed="rId440"/>
        <a:stretch>
          <a:fillRect/>
        </a:stretch>
      </xdr:blipFill>
      <xdr:spPr>
        <a:xfrm>
          <a:off x="18483580" y="5892800"/>
          <a:ext cx="8486775" cy="4886325"/>
        </a:xfrm>
        <a:prstGeom prst="rect">
          <a:avLst/>
        </a:prstGeom>
        <a:noFill/>
        <a:ln w="9525">
          <a:noFill/>
        </a:ln>
      </xdr:spPr>
    </xdr:pic>
  </etc:cellImage>
  <etc:cellImage>
    <xdr:pic>
      <xdr:nvPicPr>
        <xdr:cNvPr id="838" name="ID_520B9A1CB94F4BD7993DB2A1FA56AD02"/>
        <xdr:cNvPicPr>
          <a:picLocks noChangeAspect="1"/>
        </xdr:cNvPicPr>
      </xdr:nvPicPr>
      <xdr:blipFill>
        <a:blip r:embed="rId441"/>
        <a:stretch>
          <a:fillRect/>
        </a:stretch>
      </xdr:blipFill>
      <xdr:spPr>
        <a:xfrm>
          <a:off x="18483580" y="26219150"/>
          <a:ext cx="7943850" cy="3048000"/>
        </a:xfrm>
        <a:prstGeom prst="rect">
          <a:avLst/>
        </a:prstGeom>
        <a:noFill/>
        <a:ln w="9525">
          <a:noFill/>
        </a:ln>
      </xdr:spPr>
    </xdr:pic>
  </etc:cellImage>
  <etc:cellImage>
    <xdr:pic>
      <xdr:nvPicPr>
        <xdr:cNvPr id="839" name="ID_AABDE18233CA40F58BE84441F8FE560C"/>
        <xdr:cNvPicPr>
          <a:picLocks noChangeAspect="1"/>
        </xdr:cNvPicPr>
      </xdr:nvPicPr>
      <xdr:blipFill>
        <a:blip r:embed="rId442"/>
        <a:stretch>
          <a:fillRect/>
        </a:stretch>
      </xdr:blipFill>
      <xdr:spPr>
        <a:xfrm>
          <a:off x="18483580" y="6311900"/>
          <a:ext cx="8248650" cy="3067050"/>
        </a:xfrm>
        <a:prstGeom prst="rect">
          <a:avLst/>
        </a:prstGeom>
        <a:noFill/>
        <a:ln w="9525">
          <a:noFill/>
        </a:ln>
      </xdr:spPr>
    </xdr:pic>
  </etc:cellImage>
  <etc:cellImage>
    <xdr:pic>
      <xdr:nvPicPr>
        <xdr:cNvPr id="840" name="ID_D155F051103B4BAB961D63DF1FC17F9D"/>
        <xdr:cNvPicPr>
          <a:picLocks noChangeAspect="1"/>
        </xdr:cNvPicPr>
      </xdr:nvPicPr>
      <xdr:blipFill>
        <a:blip r:embed="rId443"/>
        <a:stretch>
          <a:fillRect/>
        </a:stretch>
      </xdr:blipFill>
      <xdr:spPr>
        <a:xfrm>
          <a:off x="18483580" y="16370300"/>
          <a:ext cx="7877175" cy="3019425"/>
        </a:xfrm>
        <a:prstGeom prst="rect">
          <a:avLst/>
        </a:prstGeom>
        <a:noFill/>
        <a:ln w="9525">
          <a:noFill/>
        </a:ln>
      </xdr:spPr>
    </xdr:pic>
  </etc:cellImage>
  <etc:cellImage>
    <xdr:pic>
      <xdr:nvPicPr>
        <xdr:cNvPr id="841" name="ID_33F90D53E98C4DF2887877401A3FCE67"/>
        <xdr:cNvPicPr>
          <a:picLocks noChangeAspect="1"/>
        </xdr:cNvPicPr>
      </xdr:nvPicPr>
      <xdr:blipFill>
        <a:blip r:embed="rId444"/>
        <a:stretch>
          <a:fillRect/>
        </a:stretch>
      </xdr:blipFill>
      <xdr:spPr>
        <a:xfrm>
          <a:off x="18483580" y="6731000"/>
          <a:ext cx="8258175" cy="3086100"/>
        </a:xfrm>
        <a:prstGeom prst="rect">
          <a:avLst/>
        </a:prstGeom>
        <a:noFill/>
        <a:ln w="9525">
          <a:noFill/>
        </a:ln>
      </xdr:spPr>
    </xdr:pic>
  </etc:cellImage>
  <etc:cellImage>
    <xdr:pic>
      <xdr:nvPicPr>
        <xdr:cNvPr id="842" name="ID_0B6526383B3A4D878CAD35F0BC4C01C0"/>
        <xdr:cNvPicPr>
          <a:picLocks noChangeAspect="1"/>
        </xdr:cNvPicPr>
      </xdr:nvPicPr>
      <xdr:blipFill>
        <a:blip r:embed="rId445"/>
        <a:stretch>
          <a:fillRect/>
        </a:stretch>
      </xdr:blipFill>
      <xdr:spPr>
        <a:xfrm>
          <a:off x="18483580" y="36696650"/>
          <a:ext cx="7000875" cy="1466850"/>
        </a:xfrm>
        <a:prstGeom prst="rect">
          <a:avLst/>
        </a:prstGeom>
        <a:noFill/>
        <a:ln w="9525">
          <a:noFill/>
        </a:ln>
      </xdr:spPr>
    </xdr:pic>
  </etc:cellImage>
  <etc:cellImage>
    <xdr:pic>
      <xdr:nvPicPr>
        <xdr:cNvPr id="843" name="ID_D795FE7072EE4B3FBE9165AF2E002EDE"/>
        <xdr:cNvPicPr>
          <a:picLocks noChangeAspect="1"/>
        </xdr:cNvPicPr>
      </xdr:nvPicPr>
      <xdr:blipFill>
        <a:blip r:embed="rId446"/>
        <a:stretch>
          <a:fillRect/>
        </a:stretch>
      </xdr:blipFill>
      <xdr:spPr>
        <a:xfrm>
          <a:off x="18483580" y="7150100"/>
          <a:ext cx="8229600" cy="3028950"/>
        </a:xfrm>
        <a:prstGeom prst="rect">
          <a:avLst/>
        </a:prstGeom>
        <a:noFill/>
        <a:ln w="9525">
          <a:noFill/>
        </a:ln>
      </xdr:spPr>
    </xdr:pic>
  </etc:cellImage>
  <etc:cellImage>
    <xdr:pic>
      <xdr:nvPicPr>
        <xdr:cNvPr id="844" name="ID_F8EB492DFCD04D6BAA0ADEB90248C93E"/>
        <xdr:cNvPicPr>
          <a:picLocks noChangeAspect="1"/>
        </xdr:cNvPicPr>
      </xdr:nvPicPr>
      <xdr:blipFill>
        <a:blip r:embed="rId447"/>
        <a:stretch>
          <a:fillRect/>
        </a:stretch>
      </xdr:blipFill>
      <xdr:spPr>
        <a:xfrm>
          <a:off x="18483580" y="17208500"/>
          <a:ext cx="7934325" cy="3038475"/>
        </a:xfrm>
        <a:prstGeom prst="rect">
          <a:avLst/>
        </a:prstGeom>
        <a:noFill/>
        <a:ln w="9525">
          <a:noFill/>
        </a:ln>
      </xdr:spPr>
    </xdr:pic>
  </etc:cellImage>
  <etc:cellImage>
    <xdr:pic>
      <xdr:nvPicPr>
        <xdr:cNvPr id="845" name="ID_622D6DC377FF470F85354C95EC6B745E"/>
        <xdr:cNvPicPr>
          <a:picLocks noChangeAspect="1"/>
        </xdr:cNvPicPr>
      </xdr:nvPicPr>
      <xdr:blipFill>
        <a:blip r:embed="rId448"/>
        <a:stretch>
          <a:fillRect/>
        </a:stretch>
      </xdr:blipFill>
      <xdr:spPr>
        <a:xfrm>
          <a:off x="18483580" y="27057350"/>
          <a:ext cx="7515225" cy="3095625"/>
        </a:xfrm>
        <a:prstGeom prst="rect">
          <a:avLst/>
        </a:prstGeom>
        <a:noFill/>
        <a:ln w="9525">
          <a:noFill/>
        </a:ln>
      </xdr:spPr>
    </xdr:pic>
  </etc:cellImage>
  <etc:cellImage>
    <xdr:pic>
      <xdr:nvPicPr>
        <xdr:cNvPr id="846" name="ID_60E623F45B8E4F8B8BD534D6FD01C315"/>
        <xdr:cNvPicPr>
          <a:picLocks noChangeAspect="1"/>
        </xdr:cNvPicPr>
      </xdr:nvPicPr>
      <xdr:blipFill>
        <a:blip r:embed="rId449"/>
        <a:stretch>
          <a:fillRect/>
        </a:stretch>
      </xdr:blipFill>
      <xdr:spPr>
        <a:xfrm>
          <a:off x="18483580" y="17627600"/>
          <a:ext cx="7962900" cy="3057525"/>
        </a:xfrm>
        <a:prstGeom prst="rect">
          <a:avLst/>
        </a:prstGeom>
        <a:noFill/>
        <a:ln w="9525">
          <a:noFill/>
        </a:ln>
      </xdr:spPr>
    </xdr:pic>
  </etc:cellImage>
  <etc:cellImage>
    <xdr:pic>
      <xdr:nvPicPr>
        <xdr:cNvPr id="847" name="ID_5E54F8129EA64C60A30B247FEA6CBF2C"/>
        <xdr:cNvPicPr>
          <a:picLocks noChangeAspect="1"/>
        </xdr:cNvPicPr>
      </xdr:nvPicPr>
      <xdr:blipFill>
        <a:blip r:embed="rId450"/>
        <a:stretch>
          <a:fillRect/>
        </a:stretch>
      </xdr:blipFill>
      <xdr:spPr>
        <a:xfrm>
          <a:off x="18483580" y="27476450"/>
          <a:ext cx="7515225" cy="3076575"/>
        </a:xfrm>
        <a:prstGeom prst="rect">
          <a:avLst/>
        </a:prstGeom>
        <a:noFill/>
        <a:ln w="9525">
          <a:noFill/>
        </a:ln>
      </xdr:spPr>
    </xdr:pic>
  </etc:cellImage>
  <etc:cellImage>
    <xdr:pic>
      <xdr:nvPicPr>
        <xdr:cNvPr id="848" name="ID_2B4901ACFFA6472593EC2E62B9FDD51B"/>
        <xdr:cNvPicPr>
          <a:picLocks noChangeAspect="1"/>
        </xdr:cNvPicPr>
      </xdr:nvPicPr>
      <xdr:blipFill>
        <a:blip r:embed="rId451"/>
        <a:stretch>
          <a:fillRect/>
        </a:stretch>
      </xdr:blipFill>
      <xdr:spPr>
        <a:xfrm>
          <a:off x="18483580" y="7569200"/>
          <a:ext cx="8258175" cy="1409700"/>
        </a:xfrm>
        <a:prstGeom prst="rect">
          <a:avLst/>
        </a:prstGeom>
        <a:noFill/>
        <a:ln w="9525">
          <a:noFill/>
        </a:ln>
      </xdr:spPr>
    </xdr:pic>
  </etc:cellImage>
  <etc:cellImage>
    <xdr:pic>
      <xdr:nvPicPr>
        <xdr:cNvPr id="849" name="ID_B57B821CE94D4DA288CC853211D6BC23"/>
        <xdr:cNvPicPr>
          <a:picLocks noChangeAspect="1"/>
        </xdr:cNvPicPr>
      </xdr:nvPicPr>
      <xdr:blipFill>
        <a:blip r:embed="rId452"/>
        <a:stretch>
          <a:fillRect/>
        </a:stretch>
      </xdr:blipFill>
      <xdr:spPr>
        <a:xfrm>
          <a:off x="18483580" y="7988300"/>
          <a:ext cx="7953375" cy="3009900"/>
        </a:xfrm>
        <a:prstGeom prst="rect">
          <a:avLst/>
        </a:prstGeom>
        <a:noFill/>
        <a:ln w="9525">
          <a:noFill/>
        </a:ln>
      </xdr:spPr>
    </xdr:pic>
  </etc:cellImage>
  <etc:cellImage>
    <xdr:pic>
      <xdr:nvPicPr>
        <xdr:cNvPr id="850" name="ID_8C468BCE5EF4463795FDA00E3D4AA81F"/>
        <xdr:cNvPicPr>
          <a:picLocks noChangeAspect="1"/>
        </xdr:cNvPicPr>
      </xdr:nvPicPr>
      <xdr:blipFill>
        <a:blip r:embed="rId453"/>
        <a:stretch>
          <a:fillRect/>
        </a:stretch>
      </xdr:blipFill>
      <xdr:spPr>
        <a:xfrm>
          <a:off x="18483580" y="8407400"/>
          <a:ext cx="7905750" cy="2981325"/>
        </a:xfrm>
        <a:prstGeom prst="rect">
          <a:avLst/>
        </a:prstGeom>
        <a:noFill/>
        <a:ln w="9525">
          <a:noFill/>
        </a:ln>
      </xdr:spPr>
    </xdr:pic>
  </etc:cellImage>
  <etc:cellImage>
    <xdr:pic>
      <xdr:nvPicPr>
        <xdr:cNvPr id="851" name="ID_A163DB48603A4B388D0892B47A22AE9A"/>
        <xdr:cNvPicPr>
          <a:picLocks noChangeAspect="1"/>
        </xdr:cNvPicPr>
      </xdr:nvPicPr>
      <xdr:blipFill>
        <a:blip r:embed="rId454"/>
        <a:stretch>
          <a:fillRect/>
        </a:stretch>
      </xdr:blipFill>
      <xdr:spPr>
        <a:xfrm>
          <a:off x="18483580" y="18465800"/>
          <a:ext cx="7915275" cy="3086100"/>
        </a:xfrm>
        <a:prstGeom prst="rect">
          <a:avLst/>
        </a:prstGeom>
        <a:noFill/>
        <a:ln w="9525">
          <a:noFill/>
        </a:ln>
      </xdr:spPr>
    </xdr:pic>
  </etc:cellImage>
  <etc:cellImage>
    <xdr:pic>
      <xdr:nvPicPr>
        <xdr:cNvPr id="852" name="ID_E17530AA59BD49B6BBAA29402E44758C"/>
        <xdr:cNvPicPr>
          <a:picLocks noChangeAspect="1"/>
        </xdr:cNvPicPr>
      </xdr:nvPicPr>
      <xdr:blipFill>
        <a:blip r:embed="rId455"/>
        <a:stretch>
          <a:fillRect/>
        </a:stretch>
      </xdr:blipFill>
      <xdr:spPr>
        <a:xfrm>
          <a:off x="18483580" y="28314650"/>
          <a:ext cx="7458075" cy="3105150"/>
        </a:xfrm>
        <a:prstGeom prst="rect">
          <a:avLst/>
        </a:prstGeom>
        <a:noFill/>
        <a:ln w="9525">
          <a:noFill/>
        </a:ln>
      </xdr:spPr>
    </xdr:pic>
  </etc:cellImage>
  <etc:cellImage>
    <xdr:pic>
      <xdr:nvPicPr>
        <xdr:cNvPr id="853" name="ID_AEA7FA2FE3AD407DB77C0F8C76FD4AB1"/>
        <xdr:cNvPicPr>
          <a:picLocks noChangeAspect="1"/>
        </xdr:cNvPicPr>
      </xdr:nvPicPr>
      <xdr:blipFill>
        <a:blip r:embed="rId456"/>
        <a:stretch>
          <a:fillRect/>
        </a:stretch>
      </xdr:blipFill>
      <xdr:spPr>
        <a:xfrm>
          <a:off x="18483580" y="37953950"/>
          <a:ext cx="7981950" cy="3048000"/>
        </a:xfrm>
        <a:prstGeom prst="rect">
          <a:avLst/>
        </a:prstGeom>
        <a:noFill/>
        <a:ln w="9525">
          <a:noFill/>
        </a:ln>
      </xdr:spPr>
    </xdr:pic>
  </etc:cellImage>
  <etc:cellImage>
    <xdr:pic>
      <xdr:nvPicPr>
        <xdr:cNvPr id="854" name="ID_4EF1B327F6044FC7B7124F1A481235B8"/>
        <xdr:cNvPicPr>
          <a:picLocks noChangeAspect="1"/>
        </xdr:cNvPicPr>
      </xdr:nvPicPr>
      <xdr:blipFill>
        <a:blip r:embed="rId457"/>
        <a:stretch>
          <a:fillRect/>
        </a:stretch>
      </xdr:blipFill>
      <xdr:spPr>
        <a:xfrm>
          <a:off x="18483580" y="28733750"/>
          <a:ext cx="2190750" cy="1885950"/>
        </a:xfrm>
        <a:prstGeom prst="rect">
          <a:avLst/>
        </a:prstGeom>
        <a:noFill/>
        <a:ln w="9525">
          <a:noFill/>
        </a:ln>
      </xdr:spPr>
    </xdr:pic>
  </etc:cellImage>
  <etc:cellImage>
    <xdr:pic>
      <xdr:nvPicPr>
        <xdr:cNvPr id="855" name="ID_2E7C0D8B84834A158104103A624782CB"/>
        <xdr:cNvPicPr>
          <a:picLocks noChangeAspect="1"/>
        </xdr:cNvPicPr>
      </xdr:nvPicPr>
      <xdr:blipFill>
        <a:blip r:embed="rId458"/>
        <a:stretch>
          <a:fillRect/>
        </a:stretch>
      </xdr:blipFill>
      <xdr:spPr>
        <a:xfrm>
          <a:off x="18483580" y="8826500"/>
          <a:ext cx="7829550" cy="3038475"/>
        </a:xfrm>
        <a:prstGeom prst="rect">
          <a:avLst/>
        </a:prstGeom>
        <a:noFill/>
        <a:ln w="9525">
          <a:noFill/>
        </a:ln>
      </xdr:spPr>
    </xdr:pic>
  </etc:cellImage>
  <etc:cellImage>
    <xdr:pic>
      <xdr:nvPicPr>
        <xdr:cNvPr id="856" name="ID_0DEEF1B26A0A41D6ADB3347B227E1B69"/>
        <xdr:cNvPicPr>
          <a:picLocks noChangeAspect="1"/>
        </xdr:cNvPicPr>
      </xdr:nvPicPr>
      <xdr:blipFill>
        <a:blip r:embed="rId459"/>
        <a:stretch>
          <a:fillRect/>
        </a:stretch>
      </xdr:blipFill>
      <xdr:spPr>
        <a:xfrm>
          <a:off x="18483580" y="19304000"/>
          <a:ext cx="8048625" cy="1981200"/>
        </a:xfrm>
        <a:prstGeom prst="rect">
          <a:avLst/>
        </a:prstGeom>
        <a:noFill/>
        <a:ln w="9525">
          <a:noFill/>
        </a:ln>
      </xdr:spPr>
    </xdr:pic>
  </etc:cellImage>
  <etc:cellImage>
    <xdr:pic>
      <xdr:nvPicPr>
        <xdr:cNvPr id="857" name="ID_59670FF9C3074E64ABD5127E469381C8"/>
        <xdr:cNvPicPr>
          <a:picLocks noChangeAspect="1"/>
        </xdr:cNvPicPr>
      </xdr:nvPicPr>
      <xdr:blipFill>
        <a:blip r:embed="rId460"/>
        <a:stretch>
          <a:fillRect/>
        </a:stretch>
      </xdr:blipFill>
      <xdr:spPr>
        <a:xfrm>
          <a:off x="18483580" y="9245600"/>
          <a:ext cx="7858125" cy="3057525"/>
        </a:xfrm>
        <a:prstGeom prst="rect">
          <a:avLst/>
        </a:prstGeom>
        <a:noFill/>
        <a:ln w="9525">
          <a:noFill/>
        </a:ln>
      </xdr:spPr>
    </xdr:pic>
  </etc:cellImage>
  <etc:cellImage>
    <xdr:pic>
      <xdr:nvPicPr>
        <xdr:cNvPr id="858" name="ID_C4819DAED24843758B811A43F3F871FF"/>
        <xdr:cNvPicPr>
          <a:picLocks noChangeAspect="1"/>
        </xdr:cNvPicPr>
      </xdr:nvPicPr>
      <xdr:blipFill>
        <a:blip r:embed="rId461"/>
        <a:stretch>
          <a:fillRect/>
        </a:stretch>
      </xdr:blipFill>
      <xdr:spPr>
        <a:xfrm>
          <a:off x="18483580" y="10083800"/>
          <a:ext cx="7962900" cy="3038475"/>
        </a:xfrm>
        <a:prstGeom prst="rect">
          <a:avLst/>
        </a:prstGeom>
        <a:noFill/>
        <a:ln w="9525">
          <a:noFill/>
        </a:ln>
      </xdr:spPr>
    </xdr:pic>
  </etc:cellImage>
  <etc:cellImage>
    <xdr:pic>
      <xdr:nvPicPr>
        <xdr:cNvPr id="859" name="ID_9E7858670013490694BA88289018AFBA"/>
        <xdr:cNvPicPr>
          <a:picLocks noChangeAspect="1"/>
        </xdr:cNvPicPr>
      </xdr:nvPicPr>
      <xdr:blipFill>
        <a:blip r:embed="rId462"/>
        <a:stretch>
          <a:fillRect/>
        </a:stretch>
      </xdr:blipFill>
      <xdr:spPr>
        <a:xfrm>
          <a:off x="18483580" y="29991050"/>
          <a:ext cx="7886700" cy="3048000"/>
        </a:xfrm>
        <a:prstGeom prst="rect">
          <a:avLst/>
        </a:prstGeom>
        <a:noFill/>
        <a:ln w="9525">
          <a:noFill/>
        </a:ln>
      </xdr:spPr>
    </xdr:pic>
  </etc:cellImage>
  <etc:cellImage>
    <xdr:pic>
      <xdr:nvPicPr>
        <xdr:cNvPr id="860" name="ID_D8955422E3B74FB998ADA58481865A59"/>
        <xdr:cNvPicPr>
          <a:picLocks noChangeAspect="1"/>
        </xdr:cNvPicPr>
      </xdr:nvPicPr>
      <xdr:blipFill>
        <a:blip r:embed="rId463"/>
        <a:stretch>
          <a:fillRect/>
        </a:stretch>
      </xdr:blipFill>
      <xdr:spPr>
        <a:xfrm>
          <a:off x="18483580" y="10502900"/>
          <a:ext cx="7934325" cy="2981325"/>
        </a:xfrm>
        <a:prstGeom prst="rect">
          <a:avLst/>
        </a:prstGeom>
        <a:noFill/>
        <a:ln w="9525">
          <a:noFill/>
        </a:ln>
      </xdr:spPr>
    </xdr:pic>
  </etc:cellImage>
  <etc:cellImage>
    <xdr:pic>
      <xdr:nvPicPr>
        <xdr:cNvPr id="861" name="ID_910AF0A7269B4BD091D96FEADF329CF0"/>
        <xdr:cNvPicPr>
          <a:picLocks noChangeAspect="1"/>
        </xdr:cNvPicPr>
      </xdr:nvPicPr>
      <xdr:blipFill>
        <a:blip r:embed="rId464"/>
        <a:stretch>
          <a:fillRect/>
        </a:stretch>
      </xdr:blipFill>
      <xdr:spPr>
        <a:xfrm>
          <a:off x="18483580" y="20142200"/>
          <a:ext cx="8001000" cy="1905000"/>
        </a:xfrm>
        <a:prstGeom prst="rect">
          <a:avLst/>
        </a:prstGeom>
        <a:noFill/>
        <a:ln w="9525">
          <a:noFill/>
        </a:ln>
      </xdr:spPr>
    </xdr:pic>
  </etc:cellImage>
  <etc:cellImage>
    <xdr:pic>
      <xdr:nvPicPr>
        <xdr:cNvPr id="862" name="ID_B90BF26A1D7647C39AA0B7804E9E61A8"/>
        <xdr:cNvPicPr>
          <a:picLocks noChangeAspect="1"/>
        </xdr:cNvPicPr>
      </xdr:nvPicPr>
      <xdr:blipFill>
        <a:blip r:embed="rId465"/>
        <a:stretch>
          <a:fillRect/>
        </a:stretch>
      </xdr:blipFill>
      <xdr:spPr>
        <a:xfrm>
          <a:off x="18483580" y="10922000"/>
          <a:ext cx="7972425" cy="3019425"/>
        </a:xfrm>
        <a:prstGeom prst="rect">
          <a:avLst/>
        </a:prstGeom>
        <a:noFill/>
        <a:ln w="9525">
          <a:noFill/>
        </a:ln>
      </xdr:spPr>
    </xdr:pic>
  </etc:cellImage>
  <etc:cellImage>
    <xdr:pic>
      <xdr:nvPicPr>
        <xdr:cNvPr id="863" name="ID_979AD8AF5D3F4D15947226FCA0583E50"/>
        <xdr:cNvPicPr>
          <a:picLocks noChangeAspect="1"/>
        </xdr:cNvPicPr>
      </xdr:nvPicPr>
      <xdr:blipFill>
        <a:blip r:embed="rId466"/>
        <a:stretch>
          <a:fillRect/>
        </a:stretch>
      </xdr:blipFill>
      <xdr:spPr>
        <a:xfrm>
          <a:off x="18483580" y="30829250"/>
          <a:ext cx="7620000" cy="1638300"/>
        </a:xfrm>
        <a:prstGeom prst="rect">
          <a:avLst/>
        </a:prstGeom>
        <a:noFill/>
        <a:ln w="9525">
          <a:noFill/>
        </a:ln>
      </xdr:spPr>
    </xdr:pic>
  </etc:cellImage>
  <etc:cellImage>
    <xdr:pic>
      <xdr:nvPicPr>
        <xdr:cNvPr id="864" name="ID_9782FC5844674DD3B71FF37D51500379"/>
        <xdr:cNvPicPr>
          <a:picLocks noChangeAspect="1"/>
        </xdr:cNvPicPr>
      </xdr:nvPicPr>
      <xdr:blipFill>
        <a:blip r:embed="rId467"/>
        <a:stretch>
          <a:fillRect/>
        </a:stretch>
      </xdr:blipFill>
      <xdr:spPr>
        <a:xfrm>
          <a:off x="18483580" y="20980400"/>
          <a:ext cx="7943850" cy="1695450"/>
        </a:xfrm>
        <a:prstGeom prst="rect">
          <a:avLst/>
        </a:prstGeom>
        <a:noFill/>
        <a:ln w="9525">
          <a:noFill/>
        </a:ln>
      </xdr:spPr>
    </xdr:pic>
  </etc:cellImage>
  <etc:cellImage>
    <xdr:pic>
      <xdr:nvPicPr>
        <xdr:cNvPr id="865" name="ID_47856AD45B8A43299C5F6F5F1C7E6D68"/>
        <xdr:cNvPicPr>
          <a:picLocks noChangeAspect="1"/>
        </xdr:cNvPicPr>
      </xdr:nvPicPr>
      <xdr:blipFill>
        <a:blip r:embed="rId468"/>
        <a:stretch>
          <a:fillRect/>
        </a:stretch>
      </xdr:blipFill>
      <xdr:spPr>
        <a:xfrm>
          <a:off x="18483580" y="11341100"/>
          <a:ext cx="7934325" cy="3038475"/>
        </a:xfrm>
        <a:prstGeom prst="rect">
          <a:avLst/>
        </a:prstGeom>
        <a:noFill/>
        <a:ln w="9525">
          <a:noFill/>
        </a:ln>
      </xdr:spPr>
    </xdr:pic>
  </etc:cellImage>
  <etc:cellImage>
    <xdr:pic>
      <xdr:nvPicPr>
        <xdr:cNvPr id="866" name="ID_173ED3B4B986476AA9467105A9F2448D"/>
        <xdr:cNvPicPr>
          <a:picLocks noChangeAspect="1"/>
        </xdr:cNvPicPr>
      </xdr:nvPicPr>
      <xdr:blipFill>
        <a:blip r:embed="rId469"/>
        <a:stretch>
          <a:fillRect/>
        </a:stretch>
      </xdr:blipFill>
      <xdr:spPr>
        <a:xfrm>
          <a:off x="18483580" y="11760200"/>
          <a:ext cx="7953375" cy="3028950"/>
        </a:xfrm>
        <a:prstGeom prst="rect">
          <a:avLst/>
        </a:prstGeom>
        <a:noFill/>
        <a:ln w="9525">
          <a:noFill/>
        </a:ln>
      </xdr:spPr>
    </xdr:pic>
  </etc:cellImage>
  <etc:cellImage>
    <xdr:pic>
      <xdr:nvPicPr>
        <xdr:cNvPr id="867" name="ID_576BDBE7715C48A797A8EC2614789A71"/>
        <xdr:cNvPicPr>
          <a:picLocks noChangeAspect="1"/>
        </xdr:cNvPicPr>
      </xdr:nvPicPr>
      <xdr:blipFill>
        <a:blip r:embed="rId470"/>
        <a:stretch>
          <a:fillRect/>
        </a:stretch>
      </xdr:blipFill>
      <xdr:spPr>
        <a:xfrm>
          <a:off x="18483580" y="12598400"/>
          <a:ext cx="7953375" cy="3076575"/>
        </a:xfrm>
        <a:prstGeom prst="rect">
          <a:avLst/>
        </a:prstGeom>
        <a:noFill/>
        <a:ln w="9525">
          <a:noFill/>
        </a:ln>
      </xdr:spPr>
    </xdr:pic>
  </etc:cellImage>
  <etc:cellImage>
    <xdr:pic>
      <xdr:nvPicPr>
        <xdr:cNvPr id="868" name="ID_DE8C1E98060845A4948597961292890A"/>
        <xdr:cNvPicPr>
          <a:picLocks noChangeAspect="1"/>
        </xdr:cNvPicPr>
      </xdr:nvPicPr>
      <xdr:blipFill>
        <a:blip r:embed="rId471"/>
        <a:stretch>
          <a:fillRect/>
        </a:stretch>
      </xdr:blipFill>
      <xdr:spPr>
        <a:xfrm>
          <a:off x="18483580" y="13436600"/>
          <a:ext cx="7934325" cy="3019425"/>
        </a:xfrm>
        <a:prstGeom prst="rect">
          <a:avLst/>
        </a:prstGeom>
        <a:noFill/>
        <a:ln w="9525">
          <a:noFill/>
        </a:ln>
      </xdr:spPr>
    </xdr:pic>
  </etc:cellImage>
  <etc:cellImage>
    <xdr:pic>
      <xdr:nvPicPr>
        <xdr:cNvPr id="869" name="ID_F21C78C36C2140BA8230996661E74A10"/>
        <xdr:cNvPicPr>
          <a:picLocks noChangeAspect="1"/>
        </xdr:cNvPicPr>
      </xdr:nvPicPr>
      <xdr:blipFill>
        <a:blip r:embed="rId472"/>
        <a:stretch>
          <a:fillRect/>
        </a:stretch>
      </xdr:blipFill>
      <xdr:spPr>
        <a:xfrm>
          <a:off x="18483580" y="33762950"/>
          <a:ext cx="7496175" cy="1495425"/>
        </a:xfrm>
        <a:prstGeom prst="rect">
          <a:avLst/>
        </a:prstGeom>
        <a:noFill/>
        <a:ln w="9525">
          <a:noFill/>
        </a:ln>
      </xdr:spPr>
    </xdr:pic>
  </etc:cellImage>
  <etc:cellImage>
    <xdr:pic>
      <xdr:nvPicPr>
        <xdr:cNvPr id="870" name="ID_DC3F6ABE5A4245969ABE3CBB163A3CC0"/>
        <xdr:cNvPicPr>
          <a:picLocks noChangeAspect="1"/>
        </xdr:cNvPicPr>
      </xdr:nvPicPr>
      <xdr:blipFill>
        <a:blip r:embed="rId473"/>
        <a:stretch>
          <a:fillRect/>
        </a:stretch>
      </xdr:blipFill>
      <xdr:spPr>
        <a:xfrm>
          <a:off x="18483580" y="14274800"/>
          <a:ext cx="7496175" cy="1571625"/>
        </a:xfrm>
        <a:prstGeom prst="rect">
          <a:avLst/>
        </a:prstGeom>
        <a:noFill/>
        <a:ln w="9525">
          <a:noFill/>
        </a:ln>
      </xdr:spPr>
    </xdr:pic>
  </etc:cellImage>
  <etc:cellImage>
    <xdr:pic>
      <xdr:nvPicPr>
        <xdr:cNvPr id="871" name="ID_9A3200555C6B462DB756CE7D9045789A"/>
        <xdr:cNvPicPr>
          <a:picLocks noChangeAspect="1"/>
        </xdr:cNvPicPr>
      </xdr:nvPicPr>
      <xdr:blipFill>
        <a:blip r:embed="rId474"/>
        <a:stretch>
          <a:fillRect/>
        </a:stretch>
      </xdr:blipFill>
      <xdr:spPr>
        <a:xfrm>
          <a:off x="18483580" y="15113000"/>
          <a:ext cx="7886700" cy="2409825"/>
        </a:xfrm>
        <a:prstGeom prst="rect">
          <a:avLst/>
        </a:prstGeom>
        <a:noFill/>
        <a:ln w="9525">
          <a:noFill/>
        </a:ln>
      </xdr:spPr>
    </xdr:pic>
  </etc:cellImage>
  <etc:cellImage>
    <xdr:pic>
      <xdr:nvPicPr>
        <xdr:cNvPr id="872" name="ID_25868164023F46E4816E9D40F702400D"/>
        <xdr:cNvPicPr>
          <a:picLocks noChangeAspect="1"/>
        </xdr:cNvPicPr>
      </xdr:nvPicPr>
      <xdr:blipFill>
        <a:blip r:embed="rId475"/>
        <a:stretch>
          <a:fillRect/>
        </a:stretch>
      </xdr:blipFill>
      <xdr:spPr>
        <a:xfrm>
          <a:off x="18483580" y="35020250"/>
          <a:ext cx="7534275" cy="1533525"/>
        </a:xfrm>
        <a:prstGeom prst="rect">
          <a:avLst/>
        </a:prstGeom>
        <a:noFill/>
        <a:ln w="9525">
          <a:noFill/>
        </a:ln>
      </xdr:spPr>
    </xdr:pic>
  </etc:cellImage>
  <etc:cellImage>
    <xdr:pic>
      <xdr:nvPicPr>
        <xdr:cNvPr id="873" name="ID_6D936FA609A7403BBCA18E0E550461ED"/>
        <xdr:cNvPicPr>
          <a:picLocks noChangeAspect="1"/>
        </xdr:cNvPicPr>
      </xdr:nvPicPr>
      <xdr:blipFill>
        <a:blip r:embed="rId476"/>
        <a:stretch>
          <a:fillRect/>
        </a:stretch>
      </xdr:blipFill>
      <xdr:spPr>
        <a:xfrm>
          <a:off x="18483580" y="15532100"/>
          <a:ext cx="7953375" cy="2609850"/>
        </a:xfrm>
        <a:prstGeom prst="rect">
          <a:avLst/>
        </a:prstGeom>
        <a:noFill/>
        <a:ln w="9525">
          <a:noFill/>
        </a:ln>
      </xdr:spPr>
    </xdr:pic>
  </etc:cellImage>
  <etc:cellImage>
    <xdr:pic>
      <xdr:nvPicPr>
        <xdr:cNvPr id="874" name="ID_F5F5CE75295A4C43BFF443E8013409FC"/>
        <xdr:cNvPicPr>
          <a:picLocks noChangeAspect="1"/>
        </xdr:cNvPicPr>
      </xdr:nvPicPr>
      <xdr:blipFill>
        <a:blip r:embed="rId477"/>
        <a:stretch>
          <a:fillRect/>
        </a:stretch>
      </xdr:blipFill>
      <xdr:spPr>
        <a:xfrm>
          <a:off x="18483580" y="25380950"/>
          <a:ext cx="7991475" cy="3067050"/>
        </a:xfrm>
        <a:prstGeom prst="rect">
          <a:avLst/>
        </a:prstGeom>
        <a:noFill/>
        <a:ln w="9525">
          <a:noFill/>
        </a:ln>
      </xdr:spPr>
    </xdr:pic>
  </etc:cellImage>
  <etc:cellImage>
    <xdr:pic>
      <xdr:nvPicPr>
        <xdr:cNvPr id="875" name="ID_FFC359D845FE418F9C54C361F66C82C4"/>
        <xdr:cNvPicPr>
          <a:picLocks noChangeAspect="1"/>
        </xdr:cNvPicPr>
      </xdr:nvPicPr>
      <xdr:blipFill>
        <a:blip r:embed="rId478"/>
        <a:stretch>
          <a:fillRect/>
        </a:stretch>
      </xdr:blipFill>
      <xdr:spPr>
        <a:xfrm>
          <a:off x="18483580" y="35439350"/>
          <a:ext cx="7058025" cy="1571625"/>
        </a:xfrm>
        <a:prstGeom prst="rect">
          <a:avLst/>
        </a:prstGeom>
        <a:noFill/>
        <a:ln w="9525">
          <a:noFill/>
        </a:ln>
      </xdr:spPr>
    </xdr:pic>
  </etc:cellImage>
  <etc:cellImage>
    <xdr:pic>
      <xdr:nvPicPr>
        <xdr:cNvPr id="876" name="ID_58C9D59DB576458786E0DCF18785A368"/>
        <xdr:cNvPicPr>
          <a:picLocks noChangeAspect="1"/>
        </xdr:cNvPicPr>
      </xdr:nvPicPr>
      <xdr:blipFill>
        <a:blip r:embed="rId479"/>
        <a:stretch>
          <a:fillRect/>
        </a:stretch>
      </xdr:blipFill>
      <xdr:spPr>
        <a:xfrm>
          <a:off x="18483580" y="15951200"/>
          <a:ext cx="7924800" cy="3038475"/>
        </a:xfrm>
        <a:prstGeom prst="rect">
          <a:avLst/>
        </a:prstGeom>
        <a:noFill/>
        <a:ln w="9525">
          <a:noFill/>
        </a:ln>
      </xdr:spPr>
    </xdr:pic>
  </etc:cellImage>
  <etc:cellImage>
    <xdr:pic>
      <xdr:nvPicPr>
        <xdr:cNvPr id="877" name="ID_C296A20E82AF47318EF95993762B8A42"/>
        <xdr:cNvPicPr>
          <a:picLocks noChangeAspect="1"/>
        </xdr:cNvPicPr>
      </xdr:nvPicPr>
      <xdr:blipFill>
        <a:blip r:embed="rId480"/>
        <a:stretch>
          <a:fillRect/>
        </a:stretch>
      </xdr:blipFill>
      <xdr:spPr>
        <a:xfrm>
          <a:off x="18483580" y="16789400"/>
          <a:ext cx="7934325" cy="3019425"/>
        </a:xfrm>
        <a:prstGeom prst="rect">
          <a:avLst/>
        </a:prstGeom>
        <a:noFill/>
        <a:ln w="9525">
          <a:noFill/>
        </a:ln>
      </xdr:spPr>
    </xdr:pic>
  </etc:cellImage>
  <etc:cellImage>
    <xdr:pic>
      <xdr:nvPicPr>
        <xdr:cNvPr id="878" name="ID_607E0E5CD9EF48E48B3A8DAFF35D8D9A"/>
        <xdr:cNvPicPr>
          <a:picLocks noChangeAspect="1"/>
        </xdr:cNvPicPr>
      </xdr:nvPicPr>
      <xdr:blipFill>
        <a:blip r:embed="rId481"/>
        <a:stretch>
          <a:fillRect/>
        </a:stretch>
      </xdr:blipFill>
      <xdr:spPr>
        <a:xfrm>
          <a:off x="18483580" y="18046700"/>
          <a:ext cx="7905750" cy="3067050"/>
        </a:xfrm>
        <a:prstGeom prst="rect">
          <a:avLst/>
        </a:prstGeom>
        <a:noFill/>
        <a:ln w="9525">
          <a:noFill/>
        </a:ln>
      </xdr:spPr>
    </xdr:pic>
  </etc:cellImage>
  <etc:cellImage>
    <xdr:pic>
      <xdr:nvPicPr>
        <xdr:cNvPr id="879" name="ID_45208DBE7C6046F8ABC5ACE648CD04B6"/>
        <xdr:cNvPicPr>
          <a:picLocks noChangeAspect="1"/>
        </xdr:cNvPicPr>
      </xdr:nvPicPr>
      <xdr:blipFill>
        <a:blip r:embed="rId482"/>
        <a:stretch>
          <a:fillRect/>
        </a:stretch>
      </xdr:blipFill>
      <xdr:spPr>
        <a:xfrm>
          <a:off x="18483580" y="18884900"/>
          <a:ext cx="7905750" cy="2381250"/>
        </a:xfrm>
        <a:prstGeom prst="rect">
          <a:avLst/>
        </a:prstGeom>
        <a:noFill/>
        <a:ln w="9525">
          <a:noFill/>
        </a:ln>
      </xdr:spPr>
    </xdr:pic>
  </etc:cellImage>
  <etc:cellImage>
    <xdr:pic>
      <xdr:nvPicPr>
        <xdr:cNvPr id="880" name="ID_D1FDD41F9D6B4D04AC822D482530AE14"/>
        <xdr:cNvPicPr>
          <a:picLocks noChangeAspect="1"/>
        </xdr:cNvPicPr>
      </xdr:nvPicPr>
      <xdr:blipFill>
        <a:blip r:embed="rId483"/>
        <a:stretch>
          <a:fillRect/>
        </a:stretch>
      </xdr:blipFill>
      <xdr:spPr>
        <a:xfrm>
          <a:off x="18483580" y="19723100"/>
          <a:ext cx="8029575" cy="1905000"/>
        </a:xfrm>
        <a:prstGeom prst="rect">
          <a:avLst/>
        </a:prstGeom>
        <a:noFill/>
        <a:ln w="9525">
          <a:noFill/>
        </a:ln>
      </xdr:spPr>
    </xdr:pic>
  </etc:cellImage>
  <etc:cellImage>
    <xdr:pic>
      <xdr:nvPicPr>
        <xdr:cNvPr id="881" name="ID_B0D3F9278F884512BE6DE06B97BBAC1E"/>
        <xdr:cNvPicPr>
          <a:picLocks noChangeAspect="1"/>
        </xdr:cNvPicPr>
      </xdr:nvPicPr>
      <xdr:blipFill>
        <a:blip r:embed="rId484"/>
        <a:stretch>
          <a:fillRect/>
        </a:stretch>
      </xdr:blipFill>
      <xdr:spPr>
        <a:xfrm>
          <a:off x="18483580" y="20561300"/>
          <a:ext cx="7972425" cy="2590800"/>
        </a:xfrm>
        <a:prstGeom prst="rect">
          <a:avLst/>
        </a:prstGeom>
        <a:noFill/>
        <a:ln w="9525">
          <a:noFill/>
        </a:ln>
      </xdr:spPr>
    </xdr:pic>
  </etc:cellImage>
  <etc:cellImage>
    <xdr:pic>
      <xdr:nvPicPr>
        <xdr:cNvPr id="882" name="ID_DB1B3A232E27471983D7CD10F7F17810"/>
        <xdr:cNvPicPr>
          <a:picLocks noChangeAspect="1"/>
        </xdr:cNvPicPr>
      </xdr:nvPicPr>
      <xdr:blipFill>
        <a:blip r:embed="rId485"/>
        <a:stretch>
          <a:fillRect/>
        </a:stretch>
      </xdr:blipFill>
      <xdr:spPr>
        <a:xfrm>
          <a:off x="18483580" y="22237700"/>
          <a:ext cx="7505700" cy="3038475"/>
        </a:xfrm>
        <a:prstGeom prst="rect">
          <a:avLst/>
        </a:prstGeom>
        <a:noFill/>
        <a:ln w="9525">
          <a:noFill/>
        </a:ln>
      </xdr:spPr>
    </xdr:pic>
  </etc:cellImage>
  <etc:cellImage>
    <xdr:pic>
      <xdr:nvPicPr>
        <xdr:cNvPr id="883" name="ID_F70BF9E015F94FC294587D7EDE09D55A"/>
        <xdr:cNvPicPr>
          <a:picLocks noChangeAspect="1"/>
        </xdr:cNvPicPr>
      </xdr:nvPicPr>
      <xdr:blipFill>
        <a:blip r:embed="rId486"/>
        <a:stretch>
          <a:fillRect/>
        </a:stretch>
      </xdr:blipFill>
      <xdr:spPr>
        <a:xfrm>
          <a:off x="18483580" y="33343850"/>
          <a:ext cx="7934325" cy="3067050"/>
        </a:xfrm>
        <a:prstGeom prst="rect">
          <a:avLst/>
        </a:prstGeom>
        <a:noFill/>
        <a:ln w="9525">
          <a:noFill/>
        </a:ln>
      </xdr:spPr>
    </xdr:pic>
  </etc:cellImage>
  <etc:cellImage>
    <xdr:pic>
      <xdr:nvPicPr>
        <xdr:cNvPr id="884" name="ID_03DC1D5B61B148CFBA60D3CDFD7F8273"/>
        <xdr:cNvPicPr>
          <a:picLocks noChangeAspect="1"/>
        </xdr:cNvPicPr>
      </xdr:nvPicPr>
      <xdr:blipFill>
        <a:blip r:embed="rId487"/>
        <a:stretch>
          <a:fillRect/>
        </a:stretch>
      </xdr:blipFill>
      <xdr:spPr>
        <a:xfrm>
          <a:off x="18483580" y="23704550"/>
          <a:ext cx="8039100" cy="1685925"/>
        </a:xfrm>
        <a:prstGeom prst="rect">
          <a:avLst/>
        </a:prstGeom>
        <a:noFill/>
        <a:ln w="9525">
          <a:noFill/>
        </a:ln>
      </xdr:spPr>
    </xdr:pic>
  </etc:cellImage>
  <etc:cellImage>
    <xdr:pic>
      <xdr:nvPicPr>
        <xdr:cNvPr id="885" name="ID_2423A835CEDF4F27A9DB54E852F22F0C"/>
        <xdr:cNvPicPr>
          <a:picLocks noChangeAspect="1"/>
        </xdr:cNvPicPr>
      </xdr:nvPicPr>
      <xdr:blipFill>
        <a:blip r:embed="rId488"/>
        <a:stretch>
          <a:fillRect/>
        </a:stretch>
      </xdr:blipFill>
      <xdr:spPr>
        <a:xfrm>
          <a:off x="18483580" y="24961850"/>
          <a:ext cx="7591425" cy="2343150"/>
        </a:xfrm>
        <a:prstGeom prst="rect">
          <a:avLst/>
        </a:prstGeom>
        <a:noFill/>
        <a:ln w="9525">
          <a:noFill/>
        </a:ln>
      </xdr:spPr>
    </xdr:pic>
  </etc:cellImage>
  <etc:cellImage>
    <xdr:pic>
      <xdr:nvPicPr>
        <xdr:cNvPr id="886" name="ID_5DA0D9CEA9A14A50A48C22FA473FE916"/>
        <xdr:cNvPicPr>
          <a:picLocks noChangeAspect="1"/>
        </xdr:cNvPicPr>
      </xdr:nvPicPr>
      <xdr:blipFill>
        <a:blip r:embed="rId489"/>
        <a:stretch>
          <a:fillRect/>
        </a:stretch>
      </xdr:blipFill>
      <xdr:spPr>
        <a:xfrm>
          <a:off x="18483580" y="26638250"/>
          <a:ext cx="7496175" cy="2143125"/>
        </a:xfrm>
        <a:prstGeom prst="rect">
          <a:avLst/>
        </a:prstGeom>
        <a:noFill/>
        <a:ln w="9525">
          <a:noFill/>
        </a:ln>
      </xdr:spPr>
    </xdr:pic>
  </etc:cellImage>
  <etc:cellImage>
    <xdr:pic>
      <xdr:nvPicPr>
        <xdr:cNvPr id="887" name="ID_CB9D5EE430F24247B18F67A6582D1A38"/>
        <xdr:cNvPicPr>
          <a:picLocks noChangeAspect="1"/>
        </xdr:cNvPicPr>
      </xdr:nvPicPr>
      <xdr:blipFill>
        <a:blip r:embed="rId490"/>
        <a:stretch>
          <a:fillRect/>
        </a:stretch>
      </xdr:blipFill>
      <xdr:spPr>
        <a:xfrm>
          <a:off x="18483580" y="27895550"/>
          <a:ext cx="2305050" cy="1781175"/>
        </a:xfrm>
        <a:prstGeom prst="rect">
          <a:avLst/>
        </a:prstGeom>
        <a:noFill/>
        <a:ln w="9525">
          <a:noFill/>
        </a:ln>
      </xdr:spPr>
    </xdr:pic>
  </etc:cellImage>
  <etc:cellImage>
    <xdr:pic>
      <xdr:nvPicPr>
        <xdr:cNvPr id="888" name="ID_1FBCC5BEBA6F4492AC57BFE22D401918"/>
        <xdr:cNvPicPr>
          <a:picLocks noChangeAspect="1"/>
        </xdr:cNvPicPr>
      </xdr:nvPicPr>
      <xdr:blipFill>
        <a:blip r:embed="rId491"/>
        <a:stretch>
          <a:fillRect/>
        </a:stretch>
      </xdr:blipFill>
      <xdr:spPr>
        <a:xfrm>
          <a:off x="18483580" y="29152850"/>
          <a:ext cx="7981950" cy="1743075"/>
        </a:xfrm>
        <a:prstGeom prst="rect">
          <a:avLst/>
        </a:prstGeom>
        <a:noFill/>
        <a:ln w="9525">
          <a:noFill/>
        </a:ln>
      </xdr:spPr>
    </xdr:pic>
  </etc:cellImage>
  <etc:cellImage>
    <xdr:pic>
      <xdr:nvPicPr>
        <xdr:cNvPr id="889" name="ID_2AFAD70E5B9A47F3B743822AE6D5608E"/>
        <xdr:cNvPicPr>
          <a:picLocks noChangeAspect="1"/>
        </xdr:cNvPicPr>
      </xdr:nvPicPr>
      <xdr:blipFill>
        <a:blip r:embed="rId492"/>
        <a:stretch>
          <a:fillRect/>
        </a:stretch>
      </xdr:blipFill>
      <xdr:spPr>
        <a:xfrm>
          <a:off x="18483580" y="29571950"/>
          <a:ext cx="7505700" cy="3133725"/>
        </a:xfrm>
        <a:prstGeom prst="rect">
          <a:avLst/>
        </a:prstGeom>
        <a:noFill/>
        <a:ln w="9525">
          <a:noFill/>
        </a:ln>
      </xdr:spPr>
    </xdr:pic>
  </etc:cellImage>
  <etc:cellImage>
    <xdr:pic>
      <xdr:nvPicPr>
        <xdr:cNvPr id="890" name="ID_EEA0573902CD4F8C8F377EAA0367F1ED"/>
        <xdr:cNvPicPr>
          <a:picLocks noChangeAspect="1"/>
        </xdr:cNvPicPr>
      </xdr:nvPicPr>
      <xdr:blipFill>
        <a:blip r:embed="rId493"/>
        <a:stretch>
          <a:fillRect/>
        </a:stretch>
      </xdr:blipFill>
      <xdr:spPr>
        <a:xfrm>
          <a:off x="18483580" y="30410150"/>
          <a:ext cx="7458075" cy="1676400"/>
        </a:xfrm>
        <a:prstGeom prst="rect">
          <a:avLst/>
        </a:prstGeom>
        <a:noFill/>
        <a:ln w="9525">
          <a:noFill/>
        </a:ln>
      </xdr:spPr>
    </xdr:pic>
  </etc:cellImage>
  <etc:cellImage>
    <xdr:pic>
      <xdr:nvPicPr>
        <xdr:cNvPr id="891" name="ID_63BE347CCF1F48CE847425915DFFC334"/>
        <xdr:cNvPicPr>
          <a:picLocks noChangeAspect="1"/>
        </xdr:cNvPicPr>
      </xdr:nvPicPr>
      <xdr:blipFill>
        <a:blip r:embed="rId494"/>
        <a:stretch>
          <a:fillRect/>
        </a:stretch>
      </xdr:blipFill>
      <xdr:spPr>
        <a:xfrm>
          <a:off x="18483580" y="31248350"/>
          <a:ext cx="7543800" cy="1600200"/>
        </a:xfrm>
        <a:prstGeom prst="rect">
          <a:avLst/>
        </a:prstGeom>
        <a:noFill/>
        <a:ln w="9525">
          <a:noFill/>
        </a:ln>
      </xdr:spPr>
    </xdr:pic>
  </etc:cellImage>
  <etc:cellImage>
    <xdr:pic>
      <xdr:nvPicPr>
        <xdr:cNvPr id="892" name="ID_5D22FBDC0CFB40ABBAC1AE81B056C4ED"/>
        <xdr:cNvPicPr>
          <a:picLocks noChangeAspect="1"/>
        </xdr:cNvPicPr>
      </xdr:nvPicPr>
      <xdr:blipFill>
        <a:blip r:embed="rId495"/>
        <a:stretch>
          <a:fillRect/>
        </a:stretch>
      </xdr:blipFill>
      <xdr:spPr>
        <a:xfrm>
          <a:off x="18483580" y="31667450"/>
          <a:ext cx="7496175" cy="1704975"/>
        </a:xfrm>
        <a:prstGeom prst="rect">
          <a:avLst/>
        </a:prstGeom>
        <a:noFill/>
        <a:ln w="9525">
          <a:noFill/>
        </a:ln>
      </xdr:spPr>
    </xdr:pic>
  </etc:cellImage>
  <etc:cellImage>
    <xdr:pic>
      <xdr:nvPicPr>
        <xdr:cNvPr id="893" name="ID_FA05CFDBDBCB45B188A5E1654D09A6D4"/>
        <xdr:cNvPicPr>
          <a:picLocks noChangeAspect="1"/>
        </xdr:cNvPicPr>
      </xdr:nvPicPr>
      <xdr:blipFill>
        <a:blip r:embed="rId496"/>
        <a:stretch>
          <a:fillRect/>
        </a:stretch>
      </xdr:blipFill>
      <xdr:spPr>
        <a:xfrm>
          <a:off x="18483580" y="32086550"/>
          <a:ext cx="7934325" cy="3067050"/>
        </a:xfrm>
        <a:prstGeom prst="rect">
          <a:avLst/>
        </a:prstGeom>
        <a:noFill/>
        <a:ln w="9525">
          <a:noFill/>
        </a:ln>
      </xdr:spPr>
    </xdr:pic>
  </etc:cellImage>
  <etc:cellImage>
    <xdr:pic>
      <xdr:nvPicPr>
        <xdr:cNvPr id="894" name="ID_F9D7476805B94C44A0A9A4D2BAA0102C"/>
        <xdr:cNvPicPr>
          <a:picLocks noChangeAspect="1"/>
        </xdr:cNvPicPr>
      </xdr:nvPicPr>
      <xdr:blipFill>
        <a:blip r:embed="rId497"/>
        <a:stretch>
          <a:fillRect/>
        </a:stretch>
      </xdr:blipFill>
      <xdr:spPr>
        <a:xfrm>
          <a:off x="18483580" y="32924750"/>
          <a:ext cx="7448550" cy="3152775"/>
        </a:xfrm>
        <a:prstGeom prst="rect">
          <a:avLst/>
        </a:prstGeom>
        <a:noFill/>
        <a:ln w="9525">
          <a:noFill/>
        </a:ln>
      </xdr:spPr>
    </xdr:pic>
  </etc:cellImage>
  <etc:cellImage>
    <xdr:pic>
      <xdr:nvPicPr>
        <xdr:cNvPr id="895" name="ID_38F52476657B4CA094A601AD19C5B7A3"/>
        <xdr:cNvPicPr>
          <a:picLocks noChangeAspect="1"/>
        </xdr:cNvPicPr>
      </xdr:nvPicPr>
      <xdr:blipFill>
        <a:blip r:embed="rId498"/>
        <a:stretch>
          <a:fillRect/>
        </a:stretch>
      </xdr:blipFill>
      <xdr:spPr>
        <a:xfrm>
          <a:off x="18483580" y="34601150"/>
          <a:ext cx="7505700" cy="1571625"/>
        </a:xfrm>
        <a:prstGeom prst="rect">
          <a:avLst/>
        </a:prstGeom>
        <a:noFill/>
        <a:ln w="9525">
          <a:noFill/>
        </a:ln>
      </xdr:spPr>
    </xdr:pic>
  </etc:cellImage>
  <etc:cellImage>
    <xdr:pic>
      <xdr:nvPicPr>
        <xdr:cNvPr id="896" name="ID_71107B0D8DD8403C9B1902C5DE3A4264"/>
        <xdr:cNvPicPr>
          <a:picLocks noChangeAspect="1"/>
        </xdr:cNvPicPr>
      </xdr:nvPicPr>
      <xdr:blipFill>
        <a:blip r:embed="rId499"/>
        <a:stretch>
          <a:fillRect/>
        </a:stretch>
      </xdr:blipFill>
      <xdr:spPr>
        <a:xfrm>
          <a:off x="18483580" y="35858450"/>
          <a:ext cx="7029450" cy="1562100"/>
        </a:xfrm>
        <a:prstGeom prst="rect">
          <a:avLst/>
        </a:prstGeom>
        <a:noFill/>
        <a:ln w="9525">
          <a:noFill/>
        </a:ln>
      </xdr:spPr>
    </xdr:pic>
  </etc:cellImage>
  <etc:cellImage>
    <xdr:pic>
      <xdr:nvPicPr>
        <xdr:cNvPr id="897" name="ID_51082576FE2640BEB00D957011E8AAB8"/>
        <xdr:cNvPicPr>
          <a:picLocks noChangeAspect="1"/>
        </xdr:cNvPicPr>
      </xdr:nvPicPr>
      <xdr:blipFill>
        <a:blip r:embed="rId500"/>
        <a:stretch>
          <a:fillRect/>
        </a:stretch>
      </xdr:blipFill>
      <xdr:spPr>
        <a:xfrm>
          <a:off x="18483580" y="36277550"/>
          <a:ext cx="7019925" cy="1581150"/>
        </a:xfrm>
        <a:prstGeom prst="rect">
          <a:avLst/>
        </a:prstGeom>
        <a:noFill/>
        <a:ln w="9525">
          <a:noFill/>
        </a:ln>
      </xdr:spPr>
    </xdr:pic>
  </etc:cellImage>
  <etc:cellImage>
    <xdr:pic>
      <xdr:nvPicPr>
        <xdr:cNvPr id="898" name="ID_EDD2F2A54614403AB574AABE65622FDA"/>
        <xdr:cNvPicPr>
          <a:picLocks noChangeAspect="1"/>
        </xdr:cNvPicPr>
      </xdr:nvPicPr>
      <xdr:blipFill>
        <a:blip r:embed="rId501"/>
        <a:stretch>
          <a:fillRect/>
        </a:stretch>
      </xdr:blipFill>
      <xdr:spPr>
        <a:xfrm>
          <a:off x="18483580" y="37115750"/>
          <a:ext cx="7991475" cy="3114675"/>
        </a:xfrm>
        <a:prstGeom prst="rect">
          <a:avLst/>
        </a:prstGeom>
        <a:noFill/>
        <a:ln w="9525">
          <a:noFill/>
        </a:ln>
      </xdr:spPr>
    </xdr:pic>
  </etc:cellImage>
  <etc:cellImage>
    <xdr:pic>
      <xdr:nvPicPr>
        <xdr:cNvPr id="899" name="ID_3F3DE13A1AA6433EB9086DCE017DC637"/>
        <xdr:cNvPicPr>
          <a:picLocks noChangeAspect="1"/>
        </xdr:cNvPicPr>
      </xdr:nvPicPr>
      <xdr:blipFill>
        <a:blip r:embed="rId502"/>
        <a:stretch>
          <a:fillRect/>
        </a:stretch>
      </xdr:blipFill>
      <xdr:spPr>
        <a:xfrm>
          <a:off x="18483580" y="37534850"/>
          <a:ext cx="7953375" cy="1762125"/>
        </a:xfrm>
        <a:prstGeom prst="rect">
          <a:avLst/>
        </a:prstGeom>
        <a:noFill/>
        <a:ln w="9525">
          <a:noFill/>
        </a:ln>
      </xdr:spPr>
    </xdr:pic>
  </etc:cellImage>
  <etc:cellImage>
    <xdr:pic>
      <xdr:nvPicPr>
        <xdr:cNvPr id="900" name="ID_0CF78002522F408CA4A3A4A1289B2D27"/>
        <xdr:cNvPicPr>
          <a:picLocks noChangeAspect="1"/>
        </xdr:cNvPicPr>
      </xdr:nvPicPr>
      <xdr:blipFill>
        <a:blip r:embed="rId503"/>
        <a:stretch>
          <a:fillRect/>
        </a:stretch>
      </xdr:blipFill>
      <xdr:spPr>
        <a:xfrm>
          <a:off x="14921865" y="40399970"/>
          <a:ext cx="6934200" cy="3048000"/>
        </a:xfrm>
        <a:prstGeom prst="rect">
          <a:avLst/>
        </a:prstGeom>
        <a:noFill/>
        <a:ln w="9525">
          <a:noFill/>
        </a:ln>
      </xdr:spPr>
    </xdr:pic>
  </etc:cellImage>
  <etc:cellImage>
    <xdr:pic>
      <xdr:nvPicPr>
        <xdr:cNvPr id="901" name="ID_C2B9B846C91D44F6A90DBB82081A26AA"/>
        <xdr:cNvPicPr>
          <a:picLocks noChangeAspect="1"/>
        </xdr:cNvPicPr>
      </xdr:nvPicPr>
      <xdr:blipFill>
        <a:blip r:embed="rId504"/>
        <a:stretch>
          <a:fillRect/>
        </a:stretch>
      </xdr:blipFill>
      <xdr:spPr>
        <a:xfrm>
          <a:off x="14921865" y="30760670"/>
          <a:ext cx="7934325" cy="3105150"/>
        </a:xfrm>
        <a:prstGeom prst="rect">
          <a:avLst/>
        </a:prstGeom>
        <a:noFill/>
        <a:ln w="9525">
          <a:noFill/>
        </a:ln>
      </xdr:spPr>
    </xdr:pic>
  </etc:cellImage>
  <etc:cellImage>
    <xdr:pic>
      <xdr:nvPicPr>
        <xdr:cNvPr id="902" name="ID_5304E780696B4657BED597AEA59EBC89"/>
        <xdr:cNvPicPr>
          <a:picLocks noChangeAspect="1"/>
        </xdr:cNvPicPr>
      </xdr:nvPicPr>
      <xdr:blipFill>
        <a:blip r:embed="rId505"/>
        <a:stretch>
          <a:fillRect/>
        </a:stretch>
      </xdr:blipFill>
      <xdr:spPr>
        <a:xfrm>
          <a:off x="14921865" y="952500"/>
          <a:ext cx="8477250" cy="3086100"/>
        </a:xfrm>
        <a:prstGeom prst="rect">
          <a:avLst/>
        </a:prstGeom>
        <a:noFill/>
        <a:ln w="9525">
          <a:noFill/>
        </a:ln>
      </xdr:spPr>
    </xdr:pic>
  </etc:cellImage>
  <etc:cellImage>
    <xdr:pic>
      <xdr:nvPicPr>
        <xdr:cNvPr id="903" name="ID_2AD373EDE8CD4AD39311E34F3F51CAAA"/>
        <xdr:cNvPicPr>
          <a:picLocks noChangeAspect="1"/>
        </xdr:cNvPicPr>
      </xdr:nvPicPr>
      <xdr:blipFill>
        <a:blip r:embed="rId506"/>
        <a:stretch>
          <a:fillRect/>
        </a:stretch>
      </xdr:blipFill>
      <xdr:spPr>
        <a:xfrm>
          <a:off x="14921865" y="11062970"/>
          <a:ext cx="7848600" cy="3038475"/>
        </a:xfrm>
        <a:prstGeom prst="rect">
          <a:avLst/>
        </a:prstGeom>
        <a:noFill/>
        <a:ln w="9525">
          <a:noFill/>
        </a:ln>
      </xdr:spPr>
    </xdr:pic>
  </etc:cellImage>
  <etc:cellImage>
    <xdr:pic>
      <xdr:nvPicPr>
        <xdr:cNvPr id="904" name="ID_CA823D10D3B8408FA67EE1B6BA717C57"/>
        <xdr:cNvPicPr>
          <a:picLocks noChangeAspect="1"/>
        </xdr:cNvPicPr>
      </xdr:nvPicPr>
      <xdr:blipFill>
        <a:blip r:embed="rId507"/>
        <a:stretch>
          <a:fillRect/>
        </a:stretch>
      </xdr:blipFill>
      <xdr:spPr>
        <a:xfrm>
          <a:off x="14921865" y="20702270"/>
          <a:ext cx="7562850" cy="3067050"/>
        </a:xfrm>
        <a:prstGeom prst="rect">
          <a:avLst/>
        </a:prstGeom>
        <a:noFill/>
        <a:ln w="9525">
          <a:noFill/>
        </a:ln>
      </xdr:spPr>
    </xdr:pic>
  </etc:cellImage>
  <etc:cellImage>
    <xdr:pic>
      <xdr:nvPicPr>
        <xdr:cNvPr id="905" name="ID_CB1AB6C28C8E4D729DDBEBA9449DBEA7"/>
        <xdr:cNvPicPr>
          <a:picLocks noChangeAspect="1"/>
        </xdr:cNvPicPr>
      </xdr:nvPicPr>
      <xdr:blipFill>
        <a:blip r:embed="rId508"/>
        <a:stretch>
          <a:fillRect/>
        </a:stretch>
      </xdr:blipFill>
      <xdr:spPr>
        <a:xfrm>
          <a:off x="14921865" y="31179770"/>
          <a:ext cx="7553325" cy="3028950"/>
        </a:xfrm>
        <a:prstGeom prst="rect">
          <a:avLst/>
        </a:prstGeom>
        <a:noFill/>
        <a:ln w="9525">
          <a:noFill/>
        </a:ln>
      </xdr:spPr>
    </xdr:pic>
  </etc:cellImage>
  <etc:cellImage>
    <xdr:pic>
      <xdr:nvPicPr>
        <xdr:cNvPr id="906" name="ID_7F6E79FDC78041C8AE9D4ADA27BBF599"/>
        <xdr:cNvPicPr>
          <a:picLocks noChangeAspect="1"/>
        </xdr:cNvPicPr>
      </xdr:nvPicPr>
      <xdr:blipFill>
        <a:blip r:embed="rId509"/>
        <a:stretch>
          <a:fillRect/>
        </a:stretch>
      </xdr:blipFill>
      <xdr:spPr>
        <a:xfrm>
          <a:off x="14921865" y="21121370"/>
          <a:ext cx="7581900" cy="1104900"/>
        </a:xfrm>
        <a:prstGeom prst="rect">
          <a:avLst/>
        </a:prstGeom>
        <a:noFill/>
        <a:ln w="9525">
          <a:noFill/>
        </a:ln>
      </xdr:spPr>
    </xdr:pic>
  </etc:cellImage>
  <etc:cellImage>
    <xdr:pic>
      <xdr:nvPicPr>
        <xdr:cNvPr id="907" name="ID_FBA6E32501224503914B682A12E0B59D"/>
        <xdr:cNvPicPr>
          <a:picLocks noChangeAspect="1"/>
        </xdr:cNvPicPr>
      </xdr:nvPicPr>
      <xdr:blipFill>
        <a:blip r:embed="rId510"/>
        <a:stretch>
          <a:fillRect/>
        </a:stretch>
      </xdr:blipFill>
      <xdr:spPr>
        <a:xfrm>
          <a:off x="14921865" y="1371600"/>
          <a:ext cx="8429625" cy="3048000"/>
        </a:xfrm>
        <a:prstGeom prst="rect">
          <a:avLst/>
        </a:prstGeom>
        <a:noFill/>
        <a:ln w="9525">
          <a:noFill/>
        </a:ln>
      </xdr:spPr>
    </xdr:pic>
  </etc:cellImage>
  <etc:cellImage>
    <xdr:pic>
      <xdr:nvPicPr>
        <xdr:cNvPr id="908" name="ID_3CD052351AC446EF9EBE9C3479EB9704"/>
        <xdr:cNvPicPr>
          <a:picLocks noChangeAspect="1"/>
        </xdr:cNvPicPr>
      </xdr:nvPicPr>
      <xdr:blipFill>
        <a:blip r:embed="rId511"/>
        <a:stretch>
          <a:fillRect/>
        </a:stretch>
      </xdr:blipFill>
      <xdr:spPr>
        <a:xfrm>
          <a:off x="14921865" y="11482070"/>
          <a:ext cx="7905750" cy="3076575"/>
        </a:xfrm>
        <a:prstGeom prst="rect">
          <a:avLst/>
        </a:prstGeom>
        <a:noFill/>
        <a:ln w="9525">
          <a:noFill/>
        </a:ln>
      </xdr:spPr>
    </xdr:pic>
  </etc:cellImage>
  <etc:cellImage>
    <xdr:pic>
      <xdr:nvPicPr>
        <xdr:cNvPr id="909" name="ID_FD525047B451468A958F63FD006A41B9"/>
        <xdr:cNvPicPr>
          <a:picLocks noChangeAspect="1"/>
        </xdr:cNvPicPr>
      </xdr:nvPicPr>
      <xdr:blipFill>
        <a:blip r:embed="rId512"/>
        <a:stretch>
          <a:fillRect/>
        </a:stretch>
      </xdr:blipFill>
      <xdr:spPr>
        <a:xfrm>
          <a:off x="14921865" y="1790700"/>
          <a:ext cx="8505825" cy="3171825"/>
        </a:xfrm>
        <a:prstGeom prst="rect">
          <a:avLst/>
        </a:prstGeom>
        <a:noFill/>
        <a:ln w="9525">
          <a:noFill/>
        </a:ln>
      </xdr:spPr>
    </xdr:pic>
  </etc:cellImage>
  <etc:cellImage>
    <xdr:pic>
      <xdr:nvPicPr>
        <xdr:cNvPr id="910" name="ID_012486B88A694FE5863ACA3DD70799DF"/>
        <xdr:cNvPicPr>
          <a:picLocks noChangeAspect="1"/>
        </xdr:cNvPicPr>
      </xdr:nvPicPr>
      <xdr:blipFill>
        <a:blip r:embed="rId513"/>
        <a:stretch>
          <a:fillRect/>
        </a:stretch>
      </xdr:blipFill>
      <xdr:spPr>
        <a:xfrm>
          <a:off x="14921865" y="22378670"/>
          <a:ext cx="7534275" cy="3038475"/>
        </a:xfrm>
        <a:prstGeom prst="rect">
          <a:avLst/>
        </a:prstGeom>
        <a:noFill/>
        <a:ln w="9525">
          <a:noFill/>
        </a:ln>
      </xdr:spPr>
    </xdr:pic>
  </etc:cellImage>
  <etc:cellImage>
    <xdr:pic>
      <xdr:nvPicPr>
        <xdr:cNvPr id="911" name="ID_CBCCB03138BA4D55A977E8CE8EB4C584"/>
        <xdr:cNvPicPr>
          <a:picLocks noChangeAspect="1"/>
        </xdr:cNvPicPr>
      </xdr:nvPicPr>
      <xdr:blipFill>
        <a:blip r:embed="rId514"/>
        <a:stretch>
          <a:fillRect/>
        </a:stretch>
      </xdr:blipFill>
      <xdr:spPr>
        <a:xfrm>
          <a:off x="14921865" y="2628900"/>
          <a:ext cx="7991475" cy="3067050"/>
        </a:xfrm>
        <a:prstGeom prst="rect">
          <a:avLst/>
        </a:prstGeom>
        <a:noFill/>
        <a:ln w="9525">
          <a:noFill/>
        </a:ln>
      </xdr:spPr>
    </xdr:pic>
  </etc:cellImage>
  <etc:cellImage>
    <xdr:pic>
      <xdr:nvPicPr>
        <xdr:cNvPr id="912" name="ID_CECD94F72B0D4F64AADAB834C484FD51"/>
        <xdr:cNvPicPr>
          <a:picLocks noChangeAspect="1"/>
        </xdr:cNvPicPr>
      </xdr:nvPicPr>
      <xdr:blipFill>
        <a:blip r:embed="rId515"/>
        <a:stretch>
          <a:fillRect/>
        </a:stretch>
      </xdr:blipFill>
      <xdr:spPr>
        <a:xfrm>
          <a:off x="14921865" y="2209800"/>
          <a:ext cx="7991475" cy="3086100"/>
        </a:xfrm>
        <a:prstGeom prst="rect">
          <a:avLst/>
        </a:prstGeom>
        <a:noFill/>
        <a:ln w="9525">
          <a:noFill/>
        </a:ln>
      </xdr:spPr>
    </xdr:pic>
  </etc:cellImage>
  <etc:cellImage>
    <xdr:pic>
      <xdr:nvPicPr>
        <xdr:cNvPr id="913" name="ID_D1E8FE0EC9324C80AFF6B20435DDE62E"/>
        <xdr:cNvPicPr>
          <a:picLocks noChangeAspect="1"/>
        </xdr:cNvPicPr>
      </xdr:nvPicPr>
      <xdr:blipFill>
        <a:blip r:embed="rId516"/>
        <a:stretch>
          <a:fillRect/>
        </a:stretch>
      </xdr:blipFill>
      <xdr:spPr>
        <a:xfrm>
          <a:off x="14921865" y="22797770"/>
          <a:ext cx="7553325" cy="1485900"/>
        </a:xfrm>
        <a:prstGeom prst="rect">
          <a:avLst/>
        </a:prstGeom>
        <a:noFill/>
        <a:ln w="9525">
          <a:noFill/>
        </a:ln>
      </xdr:spPr>
    </xdr:pic>
  </etc:cellImage>
  <etc:cellImage>
    <xdr:pic>
      <xdr:nvPicPr>
        <xdr:cNvPr id="914" name="ID_AFDCBC6D0D9341F9B032FE5B3A0C6A75"/>
        <xdr:cNvPicPr>
          <a:picLocks noChangeAspect="1"/>
        </xdr:cNvPicPr>
      </xdr:nvPicPr>
      <xdr:blipFill>
        <a:blip r:embed="rId517"/>
        <a:stretch>
          <a:fillRect/>
        </a:stretch>
      </xdr:blipFill>
      <xdr:spPr>
        <a:xfrm>
          <a:off x="14921865" y="3048000"/>
          <a:ext cx="7858125" cy="3086100"/>
        </a:xfrm>
        <a:prstGeom prst="rect">
          <a:avLst/>
        </a:prstGeom>
        <a:noFill/>
        <a:ln w="9525">
          <a:noFill/>
        </a:ln>
      </xdr:spPr>
    </xdr:pic>
  </etc:cellImage>
  <etc:cellImage>
    <xdr:pic>
      <xdr:nvPicPr>
        <xdr:cNvPr id="915" name="ID_50C025EA7BA14E279FD3D56EADFCFFE2"/>
        <xdr:cNvPicPr>
          <a:picLocks noChangeAspect="1"/>
        </xdr:cNvPicPr>
      </xdr:nvPicPr>
      <xdr:blipFill>
        <a:blip r:embed="rId518"/>
        <a:stretch>
          <a:fillRect/>
        </a:stretch>
      </xdr:blipFill>
      <xdr:spPr>
        <a:xfrm>
          <a:off x="14921865" y="13158470"/>
          <a:ext cx="3086100" cy="2428875"/>
        </a:xfrm>
        <a:prstGeom prst="rect">
          <a:avLst/>
        </a:prstGeom>
        <a:noFill/>
        <a:ln w="9525">
          <a:noFill/>
        </a:ln>
      </xdr:spPr>
    </xdr:pic>
  </etc:cellImage>
  <etc:cellImage>
    <xdr:pic>
      <xdr:nvPicPr>
        <xdr:cNvPr id="916" name="ID_8F9681147A874DC5853159E83F940EAD"/>
        <xdr:cNvPicPr>
          <a:picLocks noChangeAspect="1"/>
        </xdr:cNvPicPr>
      </xdr:nvPicPr>
      <xdr:blipFill>
        <a:blip r:embed="rId519"/>
        <a:stretch>
          <a:fillRect/>
        </a:stretch>
      </xdr:blipFill>
      <xdr:spPr>
        <a:xfrm>
          <a:off x="14921865" y="33694370"/>
          <a:ext cx="7610475" cy="3048000"/>
        </a:xfrm>
        <a:prstGeom prst="rect">
          <a:avLst/>
        </a:prstGeom>
        <a:noFill/>
        <a:ln w="9525">
          <a:noFill/>
        </a:ln>
      </xdr:spPr>
    </xdr:pic>
  </etc:cellImage>
  <etc:cellImage>
    <xdr:pic>
      <xdr:nvPicPr>
        <xdr:cNvPr id="917" name="ID_C56AA38FBD38410FA6EEC8E14BE66C41"/>
        <xdr:cNvPicPr>
          <a:picLocks noChangeAspect="1"/>
        </xdr:cNvPicPr>
      </xdr:nvPicPr>
      <xdr:blipFill>
        <a:blip r:embed="rId520"/>
        <a:stretch>
          <a:fillRect/>
        </a:stretch>
      </xdr:blipFill>
      <xdr:spPr>
        <a:xfrm>
          <a:off x="14921865" y="3886200"/>
          <a:ext cx="7915275" cy="3038475"/>
        </a:xfrm>
        <a:prstGeom prst="rect">
          <a:avLst/>
        </a:prstGeom>
        <a:noFill/>
        <a:ln w="9525">
          <a:noFill/>
        </a:ln>
      </xdr:spPr>
    </xdr:pic>
  </etc:cellImage>
  <etc:cellImage>
    <xdr:pic>
      <xdr:nvPicPr>
        <xdr:cNvPr id="918" name="ID_E0513055992947338F62538C05400C0E"/>
        <xdr:cNvPicPr>
          <a:picLocks noChangeAspect="1"/>
        </xdr:cNvPicPr>
      </xdr:nvPicPr>
      <xdr:blipFill>
        <a:blip r:embed="rId521"/>
        <a:stretch>
          <a:fillRect/>
        </a:stretch>
      </xdr:blipFill>
      <xdr:spPr>
        <a:xfrm>
          <a:off x="14921865" y="13996670"/>
          <a:ext cx="2419350" cy="2133600"/>
        </a:xfrm>
        <a:prstGeom prst="rect">
          <a:avLst/>
        </a:prstGeom>
        <a:noFill/>
        <a:ln w="9525">
          <a:noFill/>
        </a:ln>
      </xdr:spPr>
    </xdr:pic>
  </etc:cellImage>
  <etc:cellImage>
    <xdr:pic>
      <xdr:nvPicPr>
        <xdr:cNvPr id="919" name="ID_48C9C8126E5D434B98B8F70404DB9A8E"/>
        <xdr:cNvPicPr>
          <a:picLocks noChangeAspect="1"/>
        </xdr:cNvPicPr>
      </xdr:nvPicPr>
      <xdr:blipFill>
        <a:blip r:embed="rId522"/>
        <a:stretch>
          <a:fillRect/>
        </a:stretch>
      </xdr:blipFill>
      <xdr:spPr>
        <a:xfrm>
          <a:off x="14921865" y="23635970"/>
          <a:ext cx="7667625" cy="1066800"/>
        </a:xfrm>
        <a:prstGeom prst="rect">
          <a:avLst/>
        </a:prstGeom>
        <a:noFill/>
        <a:ln w="9525">
          <a:noFill/>
        </a:ln>
      </xdr:spPr>
    </xdr:pic>
  </etc:cellImage>
  <etc:cellImage>
    <xdr:pic>
      <xdr:nvPicPr>
        <xdr:cNvPr id="920" name="ID_4215CE45171442CA987C6783F8B4F3B7"/>
        <xdr:cNvPicPr>
          <a:picLocks noChangeAspect="1"/>
        </xdr:cNvPicPr>
      </xdr:nvPicPr>
      <xdr:blipFill>
        <a:blip r:embed="rId523"/>
        <a:stretch>
          <a:fillRect/>
        </a:stretch>
      </xdr:blipFill>
      <xdr:spPr>
        <a:xfrm>
          <a:off x="14921865" y="3467100"/>
          <a:ext cx="7934325" cy="3000375"/>
        </a:xfrm>
        <a:prstGeom prst="rect">
          <a:avLst/>
        </a:prstGeom>
        <a:noFill/>
        <a:ln w="9525">
          <a:noFill/>
        </a:ln>
      </xdr:spPr>
    </xdr:pic>
  </etc:cellImage>
  <etc:cellImage>
    <xdr:pic>
      <xdr:nvPicPr>
        <xdr:cNvPr id="921" name="ID_45B753880D98434B9617BFD65406FE2C"/>
        <xdr:cNvPicPr>
          <a:picLocks noChangeAspect="1"/>
        </xdr:cNvPicPr>
      </xdr:nvPicPr>
      <xdr:blipFill>
        <a:blip r:embed="rId524"/>
        <a:stretch>
          <a:fillRect/>
        </a:stretch>
      </xdr:blipFill>
      <xdr:spPr>
        <a:xfrm>
          <a:off x="14921865" y="24055070"/>
          <a:ext cx="7696200" cy="1381125"/>
        </a:xfrm>
        <a:prstGeom prst="rect">
          <a:avLst/>
        </a:prstGeom>
        <a:noFill/>
        <a:ln w="9525">
          <a:noFill/>
        </a:ln>
      </xdr:spPr>
    </xdr:pic>
  </etc:cellImage>
  <etc:cellImage>
    <xdr:pic>
      <xdr:nvPicPr>
        <xdr:cNvPr id="922" name="ID_CA771A0A0934446396B164C0E78364A8"/>
        <xdr:cNvPicPr>
          <a:picLocks noChangeAspect="1"/>
        </xdr:cNvPicPr>
      </xdr:nvPicPr>
      <xdr:blipFill>
        <a:blip r:embed="rId525"/>
        <a:stretch>
          <a:fillRect/>
        </a:stretch>
      </xdr:blipFill>
      <xdr:spPr>
        <a:xfrm>
          <a:off x="14921865" y="4305300"/>
          <a:ext cx="7924800" cy="3048000"/>
        </a:xfrm>
        <a:prstGeom prst="rect">
          <a:avLst/>
        </a:prstGeom>
        <a:noFill/>
        <a:ln w="9525">
          <a:noFill/>
        </a:ln>
      </xdr:spPr>
    </xdr:pic>
  </etc:cellImage>
  <etc:cellImage>
    <xdr:pic>
      <xdr:nvPicPr>
        <xdr:cNvPr id="923" name="ID_CF08C32C26754D07A7B27EFC6AB52ED4"/>
        <xdr:cNvPicPr>
          <a:picLocks noChangeAspect="1"/>
        </xdr:cNvPicPr>
      </xdr:nvPicPr>
      <xdr:blipFill>
        <a:blip r:embed="rId526"/>
        <a:stretch>
          <a:fillRect/>
        </a:stretch>
      </xdr:blipFill>
      <xdr:spPr>
        <a:xfrm>
          <a:off x="14921865" y="4724400"/>
          <a:ext cx="7896225" cy="3028950"/>
        </a:xfrm>
        <a:prstGeom prst="rect">
          <a:avLst/>
        </a:prstGeom>
        <a:noFill/>
        <a:ln w="9525">
          <a:noFill/>
        </a:ln>
      </xdr:spPr>
    </xdr:pic>
  </etc:cellImage>
  <etc:cellImage>
    <xdr:pic>
      <xdr:nvPicPr>
        <xdr:cNvPr id="924" name="ID_198BF76847D446EFB7DE998B55DEFF7B"/>
        <xdr:cNvPicPr>
          <a:picLocks noChangeAspect="1"/>
        </xdr:cNvPicPr>
      </xdr:nvPicPr>
      <xdr:blipFill>
        <a:blip r:embed="rId527"/>
        <a:stretch>
          <a:fillRect/>
        </a:stretch>
      </xdr:blipFill>
      <xdr:spPr>
        <a:xfrm>
          <a:off x="14921865" y="5614670"/>
          <a:ext cx="2209800" cy="1895475"/>
        </a:xfrm>
        <a:prstGeom prst="rect">
          <a:avLst/>
        </a:prstGeom>
        <a:noFill/>
        <a:ln w="9525">
          <a:noFill/>
        </a:ln>
      </xdr:spPr>
    </xdr:pic>
  </etc:cellImage>
  <etc:cellImage>
    <xdr:pic>
      <xdr:nvPicPr>
        <xdr:cNvPr id="925" name="ID_AA2B1288CB5C45BFBDD8B2EF70E715F4"/>
        <xdr:cNvPicPr>
          <a:picLocks noChangeAspect="1"/>
        </xdr:cNvPicPr>
      </xdr:nvPicPr>
      <xdr:blipFill>
        <a:blip r:embed="rId528"/>
        <a:stretch>
          <a:fillRect/>
        </a:stretch>
      </xdr:blipFill>
      <xdr:spPr>
        <a:xfrm>
          <a:off x="14921865" y="25312370"/>
          <a:ext cx="7591425" cy="3105150"/>
        </a:xfrm>
        <a:prstGeom prst="rect">
          <a:avLst/>
        </a:prstGeom>
        <a:noFill/>
        <a:ln w="9525">
          <a:noFill/>
        </a:ln>
      </xdr:spPr>
    </xdr:pic>
  </etc:cellImage>
  <etc:cellImage>
    <xdr:pic>
      <xdr:nvPicPr>
        <xdr:cNvPr id="926" name="ID_CEE3F5138F3E42D19859E2E86A62E16C"/>
        <xdr:cNvPicPr>
          <a:picLocks noChangeAspect="1"/>
        </xdr:cNvPicPr>
      </xdr:nvPicPr>
      <xdr:blipFill>
        <a:blip r:embed="rId529"/>
        <a:stretch>
          <a:fillRect/>
        </a:stretch>
      </xdr:blipFill>
      <xdr:spPr>
        <a:xfrm>
          <a:off x="15533370" y="6033770"/>
          <a:ext cx="7953375" cy="3105150"/>
        </a:xfrm>
        <a:prstGeom prst="rect">
          <a:avLst/>
        </a:prstGeom>
        <a:noFill/>
        <a:ln w="9525">
          <a:noFill/>
        </a:ln>
      </xdr:spPr>
    </xdr:pic>
  </etc:cellImage>
  <etc:cellImage>
    <xdr:pic>
      <xdr:nvPicPr>
        <xdr:cNvPr id="927" name="ID_61548B4D6750407CA574F2AA40CC4F53"/>
        <xdr:cNvPicPr>
          <a:picLocks noChangeAspect="1"/>
        </xdr:cNvPicPr>
      </xdr:nvPicPr>
      <xdr:blipFill>
        <a:blip r:embed="rId530"/>
        <a:stretch>
          <a:fillRect/>
        </a:stretch>
      </xdr:blipFill>
      <xdr:spPr>
        <a:xfrm>
          <a:off x="14921865" y="15673070"/>
          <a:ext cx="2266950" cy="2371725"/>
        </a:xfrm>
        <a:prstGeom prst="rect">
          <a:avLst/>
        </a:prstGeom>
        <a:noFill/>
        <a:ln w="9525">
          <a:noFill/>
        </a:ln>
      </xdr:spPr>
    </xdr:pic>
  </etc:cellImage>
  <etc:cellImage>
    <xdr:pic>
      <xdr:nvPicPr>
        <xdr:cNvPr id="928" name="ID_1BF71DB5B7994379B3F096E0D10EC04F"/>
        <xdr:cNvPicPr>
          <a:picLocks noChangeAspect="1"/>
        </xdr:cNvPicPr>
      </xdr:nvPicPr>
      <xdr:blipFill>
        <a:blip r:embed="rId531"/>
        <a:stretch>
          <a:fillRect/>
        </a:stretch>
      </xdr:blipFill>
      <xdr:spPr>
        <a:xfrm>
          <a:off x="14921865" y="25731470"/>
          <a:ext cx="7562850" cy="1400175"/>
        </a:xfrm>
        <a:prstGeom prst="rect">
          <a:avLst/>
        </a:prstGeom>
        <a:noFill/>
        <a:ln w="9525">
          <a:noFill/>
        </a:ln>
      </xdr:spPr>
    </xdr:pic>
  </etc:cellImage>
  <etc:cellImage>
    <xdr:pic>
      <xdr:nvPicPr>
        <xdr:cNvPr id="929" name="ID_56795206402E47D198D85AB48B4445C8"/>
        <xdr:cNvPicPr>
          <a:picLocks noChangeAspect="1"/>
        </xdr:cNvPicPr>
      </xdr:nvPicPr>
      <xdr:blipFill>
        <a:blip r:embed="rId532"/>
        <a:stretch>
          <a:fillRect/>
        </a:stretch>
      </xdr:blipFill>
      <xdr:spPr>
        <a:xfrm>
          <a:off x="14921865" y="6452870"/>
          <a:ext cx="7886700" cy="2333625"/>
        </a:xfrm>
        <a:prstGeom prst="rect">
          <a:avLst/>
        </a:prstGeom>
        <a:noFill/>
        <a:ln w="9525">
          <a:noFill/>
        </a:ln>
      </xdr:spPr>
    </xdr:pic>
  </etc:cellImage>
  <etc:cellImage>
    <xdr:pic>
      <xdr:nvPicPr>
        <xdr:cNvPr id="930" name="ID_22721F9A36984D8E994758B5080A9A9F"/>
        <xdr:cNvPicPr>
          <a:picLocks noChangeAspect="1"/>
        </xdr:cNvPicPr>
      </xdr:nvPicPr>
      <xdr:blipFill>
        <a:blip r:embed="rId533"/>
        <a:stretch>
          <a:fillRect/>
        </a:stretch>
      </xdr:blipFill>
      <xdr:spPr>
        <a:xfrm>
          <a:off x="14921865" y="36208970"/>
          <a:ext cx="7486650" cy="3105150"/>
        </a:xfrm>
        <a:prstGeom prst="rect">
          <a:avLst/>
        </a:prstGeom>
        <a:noFill/>
        <a:ln w="9525">
          <a:noFill/>
        </a:ln>
      </xdr:spPr>
    </xdr:pic>
  </etc:cellImage>
  <etc:cellImage>
    <xdr:pic>
      <xdr:nvPicPr>
        <xdr:cNvPr id="931" name="ID_2442E82D76564891A43D5386B307201E"/>
        <xdr:cNvPicPr>
          <a:picLocks noChangeAspect="1"/>
        </xdr:cNvPicPr>
      </xdr:nvPicPr>
      <xdr:blipFill>
        <a:blip r:embed="rId534"/>
        <a:stretch>
          <a:fillRect/>
        </a:stretch>
      </xdr:blipFill>
      <xdr:spPr>
        <a:xfrm>
          <a:off x="14921865" y="26569670"/>
          <a:ext cx="7572375" cy="1000125"/>
        </a:xfrm>
        <a:prstGeom prst="rect">
          <a:avLst/>
        </a:prstGeom>
        <a:noFill/>
        <a:ln w="9525">
          <a:noFill/>
        </a:ln>
      </xdr:spPr>
    </xdr:pic>
  </etc:cellImage>
  <etc:cellImage>
    <xdr:pic>
      <xdr:nvPicPr>
        <xdr:cNvPr id="932" name="ID_F3943A2F37D549DB8B8859E87FFB0D8C"/>
        <xdr:cNvPicPr>
          <a:picLocks noChangeAspect="1"/>
        </xdr:cNvPicPr>
      </xdr:nvPicPr>
      <xdr:blipFill>
        <a:blip r:embed="rId535"/>
        <a:stretch>
          <a:fillRect/>
        </a:stretch>
      </xdr:blipFill>
      <xdr:spPr>
        <a:xfrm>
          <a:off x="14921865" y="6871970"/>
          <a:ext cx="7915275" cy="3076575"/>
        </a:xfrm>
        <a:prstGeom prst="rect">
          <a:avLst/>
        </a:prstGeom>
        <a:noFill/>
        <a:ln w="9525">
          <a:noFill/>
        </a:ln>
      </xdr:spPr>
    </xdr:pic>
  </etc:cellImage>
  <etc:cellImage>
    <xdr:pic>
      <xdr:nvPicPr>
        <xdr:cNvPr id="933" name="ID_A23B3BDCAE9741EE82A103F44DEDDEDC"/>
        <xdr:cNvPicPr>
          <a:picLocks noChangeAspect="1"/>
        </xdr:cNvPicPr>
      </xdr:nvPicPr>
      <xdr:blipFill>
        <a:blip r:embed="rId536"/>
        <a:stretch>
          <a:fillRect/>
        </a:stretch>
      </xdr:blipFill>
      <xdr:spPr>
        <a:xfrm>
          <a:off x="14921865" y="16511270"/>
          <a:ext cx="7429500" cy="3114675"/>
        </a:xfrm>
        <a:prstGeom prst="rect">
          <a:avLst/>
        </a:prstGeom>
        <a:noFill/>
        <a:ln w="9525">
          <a:noFill/>
        </a:ln>
      </xdr:spPr>
    </xdr:pic>
  </etc:cellImage>
  <etc:cellImage>
    <xdr:pic>
      <xdr:nvPicPr>
        <xdr:cNvPr id="934" name="ID_D42D462062D14051A06BFD3395BECF2F"/>
        <xdr:cNvPicPr>
          <a:picLocks noChangeAspect="1"/>
        </xdr:cNvPicPr>
      </xdr:nvPicPr>
      <xdr:blipFill>
        <a:blip r:embed="rId537"/>
        <a:stretch>
          <a:fillRect/>
        </a:stretch>
      </xdr:blipFill>
      <xdr:spPr>
        <a:xfrm>
          <a:off x="14921865" y="7291070"/>
          <a:ext cx="2238375" cy="2228850"/>
        </a:xfrm>
        <a:prstGeom prst="rect">
          <a:avLst/>
        </a:prstGeom>
        <a:noFill/>
        <a:ln w="9525">
          <a:noFill/>
        </a:ln>
      </xdr:spPr>
    </xdr:pic>
  </etc:cellImage>
  <etc:cellImage>
    <xdr:pic>
      <xdr:nvPicPr>
        <xdr:cNvPr id="935" name="ID_686A585DF1664D6F9BE7FBB98080130F"/>
        <xdr:cNvPicPr>
          <a:picLocks noChangeAspect="1"/>
        </xdr:cNvPicPr>
      </xdr:nvPicPr>
      <xdr:blipFill>
        <a:blip r:embed="rId538"/>
        <a:stretch>
          <a:fillRect/>
        </a:stretch>
      </xdr:blipFill>
      <xdr:spPr>
        <a:xfrm>
          <a:off x="14921865" y="26988770"/>
          <a:ext cx="7562850" cy="3048000"/>
        </a:xfrm>
        <a:prstGeom prst="rect">
          <a:avLst/>
        </a:prstGeom>
        <a:noFill/>
        <a:ln w="9525">
          <a:noFill/>
        </a:ln>
      </xdr:spPr>
    </xdr:pic>
  </etc:cellImage>
  <etc:cellImage>
    <xdr:pic>
      <xdr:nvPicPr>
        <xdr:cNvPr id="936" name="ID_73A4CEBBD61F44F8820B5F9788EC29A3"/>
        <xdr:cNvPicPr>
          <a:picLocks noChangeAspect="1"/>
        </xdr:cNvPicPr>
      </xdr:nvPicPr>
      <xdr:blipFill>
        <a:blip r:embed="rId539"/>
        <a:stretch>
          <a:fillRect/>
        </a:stretch>
      </xdr:blipFill>
      <xdr:spPr>
        <a:xfrm>
          <a:off x="15683865" y="7729220"/>
          <a:ext cx="7486650" cy="3086100"/>
        </a:xfrm>
        <a:prstGeom prst="rect">
          <a:avLst/>
        </a:prstGeom>
        <a:noFill/>
        <a:ln w="9525">
          <a:noFill/>
        </a:ln>
      </xdr:spPr>
    </xdr:pic>
  </etc:cellImage>
  <etc:cellImage>
    <xdr:pic>
      <xdr:nvPicPr>
        <xdr:cNvPr id="937" name="ID_1EC833D20DC84116B65FFB890493089F"/>
        <xdr:cNvPicPr>
          <a:picLocks noChangeAspect="1"/>
        </xdr:cNvPicPr>
      </xdr:nvPicPr>
      <xdr:blipFill>
        <a:blip r:embed="rId540"/>
        <a:stretch>
          <a:fillRect/>
        </a:stretch>
      </xdr:blipFill>
      <xdr:spPr>
        <a:xfrm>
          <a:off x="14921865" y="17349470"/>
          <a:ext cx="7858125" cy="3048000"/>
        </a:xfrm>
        <a:prstGeom prst="rect">
          <a:avLst/>
        </a:prstGeom>
        <a:noFill/>
        <a:ln w="9525">
          <a:noFill/>
        </a:ln>
      </xdr:spPr>
    </xdr:pic>
  </etc:cellImage>
  <etc:cellImage>
    <xdr:pic>
      <xdr:nvPicPr>
        <xdr:cNvPr id="938" name="ID_EAB514488A9F4DE3ACE91DE3B465E953"/>
        <xdr:cNvPicPr>
          <a:picLocks noChangeAspect="1"/>
        </xdr:cNvPicPr>
      </xdr:nvPicPr>
      <xdr:blipFill>
        <a:blip r:embed="rId541"/>
        <a:stretch>
          <a:fillRect/>
        </a:stretch>
      </xdr:blipFill>
      <xdr:spPr>
        <a:xfrm>
          <a:off x="14921865" y="70784720"/>
          <a:ext cx="8115300" cy="3181350"/>
        </a:xfrm>
        <a:prstGeom prst="rect">
          <a:avLst/>
        </a:prstGeom>
        <a:noFill/>
        <a:ln w="9525">
          <a:noFill/>
        </a:ln>
      </xdr:spPr>
    </xdr:pic>
  </etc:cellImage>
  <etc:cellImage>
    <xdr:pic>
      <xdr:nvPicPr>
        <xdr:cNvPr id="939" name="ID_6784D893B3924C2CAD6B17D19B4E8E5F"/>
        <xdr:cNvPicPr>
          <a:picLocks noChangeAspect="1"/>
        </xdr:cNvPicPr>
      </xdr:nvPicPr>
      <xdr:blipFill>
        <a:blip r:embed="rId542"/>
        <a:stretch>
          <a:fillRect/>
        </a:stretch>
      </xdr:blipFill>
      <xdr:spPr>
        <a:xfrm>
          <a:off x="14921865" y="27826970"/>
          <a:ext cx="7581900" cy="3019425"/>
        </a:xfrm>
        <a:prstGeom prst="rect">
          <a:avLst/>
        </a:prstGeom>
        <a:noFill/>
        <a:ln w="9525">
          <a:noFill/>
        </a:ln>
      </xdr:spPr>
    </xdr:pic>
  </etc:cellImage>
  <etc:cellImage>
    <xdr:pic>
      <xdr:nvPicPr>
        <xdr:cNvPr id="940" name="ID_7C61B097179D4140A227EB57CA7686B1"/>
        <xdr:cNvPicPr>
          <a:picLocks noChangeAspect="1"/>
        </xdr:cNvPicPr>
      </xdr:nvPicPr>
      <xdr:blipFill>
        <a:blip r:embed="rId543"/>
        <a:stretch>
          <a:fillRect/>
        </a:stretch>
      </xdr:blipFill>
      <xdr:spPr>
        <a:xfrm>
          <a:off x="14921865" y="8129270"/>
          <a:ext cx="7429500" cy="3028950"/>
        </a:xfrm>
        <a:prstGeom prst="rect">
          <a:avLst/>
        </a:prstGeom>
        <a:noFill/>
        <a:ln w="9525">
          <a:noFill/>
        </a:ln>
      </xdr:spPr>
    </xdr:pic>
  </etc:cellImage>
  <etc:cellImage>
    <xdr:pic>
      <xdr:nvPicPr>
        <xdr:cNvPr id="941" name="ID_1C546D5768C941E6BECEA0532DABC116"/>
        <xdr:cNvPicPr>
          <a:picLocks noChangeAspect="1"/>
        </xdr:cNvPicPr>
      </xdr:nvPicPr>
      <xdr:blipFill>
        <a:blip r:embed="rId544"/>
        <a:stretch>
          <a:fillRect/>
        </a:stretch>
      </xdr:blipFill>
      <xdr:spPr>
        <a:xfrm>
          <a:off x="14921865" y="37885370"/>
          <a:ext cx="8010525" cy="3067050"/>
        </a:xfrm>
        <a:prstGeom prst="rect">
          <a:avLst/>
        </a:prstGeom>
        <a:noFill/>
        <a:ln w="9525">
          <a:noFill/>
        </a:ln>
      </xdr:spPr>
    </xdr:pic>
  </etc:cellImage>
  <etc:cellImage>
    <xdr:pic>
      <xdr:nvPicPr>
        <xdr:cNvPr id="942" name="ID_599849818B1847C08F68119F6771B065"/>
        <xdr:cNvPicPr>
          <a:picLocks noChangeAspect="1"/>
        </xdr:cNvPicPr>
      </xdr:nvPicPr>
      <xdr:blipFill>
        <a:blip r:embed="rId545"/>
        <a:stretch>
          <a:fillRect/>
        </a:stretch>
      </xdr:blipFill>
      <xdr:spPr>
        <a:xfrm>
          <a:off x="14921865" y="28246070"/>
          <a:ext cx="7610475" cy="1990725"/>
        </a:xfrm>
        <a:prstGeom prst="rect">
          <a:avLst/>
        </a:prstGeom>
        <a:noFill/>
        <a:ln w="9525">
          <a:noFill/>
        </a:ln>
      </xdr:spPr>
    </xdr:pic>
  </etc:cellImage>
  <etc:cellImage>
    <xdr:pic>
      <xdr:nvPicPr>
        <xdr:cNvPr id="943" name="ID_686D2374635A41B5AB8D21890C885A9B"/>
        <xdr:cNvPicPr>
          <a:picLocks noChangeAspect="1"/>
        </xdr:cNvPicPr>
      </xdr:nvPicPr>
      <xdr:blipFill>
        <a:blip r:embed="rId546"/>
        <a:stretch>
          <a:fillRect/>
        </a:stretch>
      </xdr:blipFill>
      <xdr:spPr>
        <a:xfrm>
          <a:off x="14921865" y="8548370"/>
          <a:ext cx="7429500" cy="3028950"/>
        </a:xfrm>
        <a:prstGeom prst="rect">
          <a:avLst/>
        </a:prstGeom>
        <a:noFill/>
        <a:ln w="9525">
          <a:noFill/>
        </a:ln>
      </xdr:spPr>
    </xdr:pic>
  </etc:cellImage>
  <etc:cellImage>
    <xdr:pic>
      <xdr:nvPicPr>
        <xdr:cNvPr id="944" name="ID_C7300ADB77854BF0A4F7CC95C96356A5"/>
        <xdr:cNvPicPr>
          <a:picLocks noChangeAspect="1"/>
        </xdr:cNvPicPr>
      </xdr:nvPicPr>
      <xdr:blipFill>
        <a:blip r:embed="rId547"/>
        <a:stretch>
          <a:fillRect/>
        </a:stretch>
      </xdr:blipFill>
      <xdr:spPr>
        <a:xfrm>
          <a:off x="14921865" y="18187670"/>
          <a:ext cx="7934325" cy="3028950"/>
        </a:xfrm>
        <a:prstGeom prst="rect">
          <a:avLst/>
        </a:prstGeom>
        <a:noFill/>
        <a:ln w="9525">
          <a:noFill/>
        </a:ln>
      </xdr:spPr>
    </xdr:pic>
  </etc:cellImage>
  <etc:cellImage>
    <xdr:pic>
      <xdr:nvPicPr>
        <xdr:cNvPr id="945" name="ID_B96F96AC48AF4B5F89AE324AF53A40CC"/>
        <xdr:cNvPicPr>
          <a:picLocks noChangeAspect="1"/>
        </xdr:cNvPicPr>
      </xdr:nvPicPr>
      <xdr:blipFill>
        <a:blip r:embed="rId548"/>
        <a:stretch>
          <a:fillRect/>
        </a:stretch>
      </xdr:blipFill>
      <xdr:spPr>
        <a:xfrm>
          <a:off x="14921865" y="8967470"/>
          <a:ext cx="7400925" cy="3076575"/>
        </a:xfrm>
        <a:prstGeom prst="rect">
          <a:avLst/>
        </a:prstGeom>
        <a:noFill/>
        <a:ln w="9525">
          <a:noFill/>
        </a:ln>
      </xdr:spPr>
    </xdr:pic>
  </etc:cellImage>
  <etc:cellImage>
    <xdr:pic>
      <xdr:nvPicPr>
        <xdr:cNvPr id="946" name="ID_23C285AB56C3462E8E2E3290AC94F855"/>
        <xdr:cNvPicPr>
          <a:picLocks noChangeAspect="1"/>
        </xdr:cNvPicPr>
      </xdr:nvPicPr>
      <xdr:blipFill>
        <a:blip r:embed="rId549"/>
        <a:stretch>
          <a:fillRect/>
        </a:stretch>
      </xdr:blipFill>
      <xdr:spPr>
        <a:xfrm>
          <a:off x="14921865" y="9386570"/>
          <a:ext cx="7439025" cy="3038475"/>
        </a:xfrm>
        <a:prstGeom prst="rect">
          <a:avLst/>
        </a:prstGeom>
        <a:noFill/>
        <a:ln w="9525">
          <a:noFill/>
        </a:ln>
      </xdr:spPr>
    </xdr:pic>
  </etc:cellImage>
  <etc:cellImage>
    <xdr:pic>
      <xdr:nvPicPr>
        <xdr:cNvPr id="947" name="ID_14716B16E4724ADEBAB54035769F7834"/>
        <xdr:cNvPicPr>
          <a:picLocks noChangeAspect="1"/>
        </xdr:cNvPicPr>
      </xdr:nvPicPr>
      <xdr:blipFill>
        <a:blip r:embed="rId550"/>
        <a:stretch>
          <a:fillRect/>
        </a:stretch>
      </xdr:blipFill>
      <xdr:spPr>
        <a:xfrm>
          <a:off x="14921865" y="9805670"/>
          <a:ext cx="7924800" cy="3067050"/>
        </a:xfrm>
        <a:prstGeom prst="rect">
          <a:avLst/>
        </a:prstGeom>
        <a:noFill/>
        <a:ln w="9525">
          <a:noFill/>
        </a:ln>
      </xdr:spPr>
    </xdr:pic>
  </etc:cellImage>
  <etc:cellImage>
    <xdr:pic>
      <xdr:nvPicPr>
        <xdr:cNvPr id="948" name="ID_2B47AA92F8BC46EFBE22BE8364CC8876"/>
        <xdr:cNvPicPr>
          <a:picLocks noChangeAspect="1"/>
        </xdr:cNvPicPr>
      </xdr:nvPicPr>
      <xdr:blipFill>
        <a:blip r:embed="rId551"/>
        <a:stretch>
          <a:fillRect/>
        </a:stretch>
      </xdr:blipFill>
      <xdr:spPr>
        <a:xfrm>
          <a:off x="14921865" y="48781970"/>
          <a:ext cx="6972300" cy="3086100"/>
        </a:xfrm>
        <a:prstGeom prst="rect">
          <a:avLst/>
        </a:prstGeom>
        <a:noFill/>
        <a:ln w="9525">
          <a:noFill/>
        </a:ln>
      </xdr:spPr>
    </xdr:pic>
  </etc:cellImage>
  <etc:cellImage>
    <xdr:pic>
      <xdr:nvPicPr>
        <xdr:cNvPr id="949" name="ID_2D967E06D5264E2B83DC6C440F9F768D"/>
        <xdr:cNvPicPr>
          <a:picLocks noChangeAspect="1"/>
        </xdr:cNvPicPr>
      </xdr:nvPicPr>
      <xdr:blipFill>
        <a:blip r:embed="rId552"/>
        <a:stretch>
          <a:fillRect/>
        </a:stretch>
      </xdr:blipFill>
      <xdr:spPr>
        <a:xfrm>
          <a:off x="14921865" y="10224770"/>
          <a:ext cx="7924800" cy="3067050"/>
        </a:xfrm>
        <a:prstGeom prst="rect">
          <a:avLst/>
        </a:prstGeom>
        <a:noFill/>
        <a:ln w="9525">
          <a:noFill/>
        </a:ln>
      </xdr:spPr>
    </xdr:pic>
  </etc:cellImage>
  <etc:cellImage>
    <xdr:pic>
      <xdr:nvPicPr>
        <xdr:cNvPr id="950" name="ID_FA97C791F9384958A4E86E5A53DFCE0A"/>
        <xdr:cNvPicPr>
          <a:picLocks noChangeAspect="1"/>
        </xdr:cNvPicPr>
      </xdr:nvPicPr>
      <xdr:blipFill>
        <a:blip r:embed="rId553"/>
        <a:stretch>
          <a:fillRect/>
        </a:stretch>
      </xdr:blipFill>
      <xdr:spPr>
        <a:xfrm>
          <a:off x="14921865" y="19864070"/>
          <a:ext cx="7610475" cy="3038475"/>
        </a:xfrm>
        <a:prstGeom prst="rect">
          <a:avLst/>
        </a:prstGeom>
        <a:noFill/>
        <a:ln w="9525">
          <a:noFill/>
        </a:ln>
      </xdr:spPr>
    </xdr:pic>
  </etc:cellImage>
  <etc:cellImage>
    <xdr:pic>
      <xdr:nvPicPr>
        <xdr:cNvPr id="951" name="ID_FB955196BCAD4869A53631385379BC40"/>
        <xdr:cNvPicPr>
          <a:picLocks noChangeAspect="1"/>
        </xdr:cNvPicPr>
      </xdr:nvPicPr>
      <xdr:blipFill>
        <a:blip r:embed="rId554"/>
        <a:stretch>
          <a:fillRect/>
        </a:stretch>
      </xdr:blipFill>
      <xdr:spPr>
        <a:xfrm>
          <a:off x="14921865" y="10643870"/>
          <a:ext cx="7905750" cy="3143250"/>
        </a:xfrm>
        <a:prstGeom prst="rect">
          <a:avLst/>
        </a:prstGeom>
        <a:noFill/>
        <a:ln w="9525">
          <a:noFill/>
        </a:ln>
      </xdr:spPr>
    </xdr:pic>
  </etc:cellImage>
  <etc:cellImage>
    <xdr:pic>
      <xdr:nvPicPr>
        <xdr:cNvPr id="952" name="ID_E700E5C180CB4447B32403BA94D0EBA0"/>
        <xdr:cNvPicPr>
          <a:picLocks noChangeAspect="1"/>
        </xdr:cNvPicPr>
      </xdr:nvPicPr>
      <xdr:blipFill>
        <a:blip r:embed="rId555"/>
        <a:stretch>
          <a:fillRect/>
        </a:stretch>
      </xdr:blipFill>
      <xdr:spPr>
        <a:xfrm>
          <a:off x="14921865" y="11901170"/>
          <a:ext cx="8829675" cy="3895725"/>
        </a:xfrm>
        <a:prstGeom prst="rect">
          <a:avLst/>
        </a:prstGeom>
        <a:noFill/>
        <a:ln w="9525">
          <a:noFill/>
        </a:ln>
      </xdr:spPr>
    </xdr:pic>
  </etc:cellImage>
  <etc:cellImage>
    <xdr:pic>
      <xdr:nvPicPr>
        <xdr:cNvPr id="953" name="ID_247DCEA9429D46B79CC0699DA6B0F16D"/>
        <xdr:cNvPicPr>
          <a:picLocks noChangeAspect="1"/>
        </xdr:cNvPicPr>
      </xdr:nvPicPr>
      <xdr:blipFill>
        <a:blip r:embed="rId556"/>
        <a:stretch>
          <a:fillRect/>
        </a:stretch>
      </xdr:blipFill>
      <xdr:spPr>
        <a:xfrm>
          <a:off x="14921865" y="32017970"/>
          <a:ext cx="7591425" cy="3086100"/>
        </a:xfrm>
        <a:prstGeom prst="rect">
          <a:avLst/>
        </a:prstGeom>
        <a:noFill/>
        <a:ln w="9525">
          <a:noFill/>
        </a:ln>
      </xdr:spPr>
    </xdr:pic>
  </etc:cellImage>
  <etc:cellImage>
    <xdr:pic>
      <xdr:nvPicPr>
        <xdr:cNvPr id="954" name="ID_CD9F844F1F25421E8C0ADE9A0C316D75"/>
        <xdr:cNvPicPr>
          <a:picLocks noChangeAspect="1"/>
        </xdr:cNvPicPr>
      </xdr:nvPicPr>
      <xdr:blipFill>
        <a:blip r:embed="rId557"/>
        <a:stretch>
          <a:fillRect/>
        </a:stretch>
      </xdr:blipFill>
      <xdr:spPr>
        <a:xfrm>
          <a:off x="14921865" y="12320270"/>
          <a:ext cx="7439025" cy="3076575"/>
        </a:xfrm>
        <a:prstGeom prst="rect">
          <a:avLst/>
        </a:prstGeom>
        <a:noFill/>
        <a:ln w="9525">
          <a:noFill/>
        </a:ln>
      </xdr:spPr>
    </xdr:pic>
  </etc:cellImage>
  <etc:cellImage>
    <xdr:pic>
      <xdr:nvPicPr>
        <xdr:cNvPr id="955" name="ID_12047C022D584F64BFF7E48849399A4C"/>
        <xdr:cNvPicPr>
          <a:picLocks noChangeAspect="1"/>
        </xdr:cNvPicPr>
      </xdr:nvPicPr>
      <xdr:blipFill>
        <a:blip r:embed="rId558"/>
        <a:stretch>
          <a:fillRect/>
        </a:stretch>
      </xdr:blipFill>
      <xdr:spPr>
        <a:xfrm>
          <a:off x="14921865" y="21959570"/>
          <a:ext cx="7543800" cy="1000125"/>
        </a:xfrm>
        <a:prstGeom prst="rect">
          <a:avLst/>
        </a:prstGeom>
        <a:noFill/>
        <a:ln w="9525">
          <a:noFill/>
        </a:ln>
      </xdr:spPr>
    </xdr:pic>
  </etc:cellImage>
  <etc:cellImage>
    <xdr:pic>
      <xdr:nvPicPr>
        <xdr:cNvPr id="956" name="ID_CD14107B0D094403AB6491E70D4D93D8"/>
        <xdr:cNvPicPr>
          <a:picLocks noChangeAspect="1"/>
        </xdr:cNvPicPr>
      </xdr:nvPicPr>
      <xdr:blipFill>
        <a:blip r:embed="rId559"/>
        <a:stretch>
          <a:fillRect/>
        </a:stretch>
      </xdr:blipFill>
      <xdr:spPr>
        <a:xfrm>
          <a:off x="14921865" y="32437070"/>
          <a:ext cx="7658100" cy="1381125"/>
        </a:xfrm>
        <a:prstGeom prst="rect">
          <a:avLst/>
        </a:prstGeom>
        <a:noFill/>
        <a:ln w="9525">
          <a:noFill/>
        </a:ln>
      </xdr:spPr>
    </xdr:pic>
  </etc:cellImage>
  <etc:cellImage>
    <xdr:pic>
      <xdr:nvPicPr>
        <xdr:cNvPr id="957" name="ID_68F9FD21D0734433B75E650D14ADAF03"/>
        <xdr:cNvPicPr>
          <a:picLocks noChangeAspect="1"/>
        </xdr:cNvPicPr>
      </xdr:nvPicPr>
      <xdr:blipFill>
        <a:blip r:embed="rId560"/>
        <a:stretch>
          <a:fillRect/>
        </a:stretch>
      </xdr:blipFill>
      <xdr:spPr>
        <a:xfrm>
          <a:off x="14921865" y="12739370"/>
          <a:ext cx="7467600" cy="3067050"/>
        </a:xfrm>
        <a:prstGeom prst="rect">
          <a:avLst/>
        </a:prstGeom>
        <a:noFill/>
        <a:ln w="9525">
          <a:noFill/>
        </a:ln>
      </xdr:spPr>
    </xdr:pic>
  </etc:cellImage>
  <etc:cellImage>
    <xdr:pic>
      <xdr:nvPicPr>
        <xdr:cNvPr id="958" name="ID_6E1AA6B822B048109DA108B8DFD947F3"/>
        <xdr:cNvPicPr>
          <a:picLocks noChangeAspect="1"/>
        </xdr:cNvPicPr>
      </xdr:nvPicPr>
      <xdr:blipFill>
        <a:blip r:embed="rId561"/>
        <a:stretch>
          <a:fillRect/>
        </a:stretch>
      </xdr:blipFill>
      <xdr:spPr>
        <a:xfrm>
          <a:off x="14921865" y="13577570"/>
          <a:ext cx="7410450" cy="3057525"/>
        </a:xfrm>
        <a:prstGeom prst="rect">
          <a:avLst/>
        </a:prstGeom>
        <a:noFill/>
        <a:ln w="9525">
          <a:noFill/>
        </a:ln>
      </xdr:spPr>
    </xdr:pic>
  </etc:cellImage>
  <etc:cellImage>
    <xdr:pic>
      <xdr:nvPicPr>
        <xdr:cNvPr id="959" name="ID_5A81FEEE739342B1BC1B48C9E6DDA650"/>
        <xdr:cNvPicPr>
          <a:picLocks noChangeAspect="1"/>
        </xdr:cNvPicPr>
      </xdr:nvPicPr>
      <xdr:blipFill>
        <a:blip r:embed="rId562"/>
        <a:stretch>
          <a:fillRect/>
        </a:stretch>
      </xdr:blipFill>
      <xdr:spPr>
        <a:xfrm>
          <a:off x="14921865" y="14415770"/>
          <a:ext cx="7372350" cy="3086100"/>
        </a:xfrm>
        <a:prstGeom prst="rect">
          <a:avLst/>
        </a:prstGeom>
        <a:noFill/>
        <a:ln w="9525">
          <a:noFill/>
        </a:ln>
      </xdr:spPr>
    </xdr:pic>
  </etc:cellImage>
  <etc:cellImage>
    <xdr:pic>
      <xdr:nvPicPr>
        <xdr:cNvPr id="960" name="ID_5D70990B87B14628A71662E81DD38313"/>
        <xdr:cNvPicPr>
          <a:picLocks noChangeAspect="1"/>
        </xdr:cNvPicPr>
      </xdr:nvPicPr>
      <xdr:blipFill>
        <a:blip r:embed="rId563"/>
        <a:stretch>
          <a:fillRect/>
        </a:stretch>
      </xdr:blipFill>
      <xdr:spPr>
        <a:xfrm>
          <a:off x="14921865" y="44590970"/>
          <a:ext cx="8010525" cy="3076575"/>
        </a:xfrm>
        <a:prstGeom prst="rect">
          <a:avLst/>
        </a:prstGeom>
        <a:noFill/>
        <a:ln w="9525">
          <a:noFill/>
        </a:ln>
      </xdr:spPr>
    </xdr:pic>
  </etc:cellImage>
  <etc:cellImage>
    <xdr:pic>
      <xdr:nvPicPr>
        <xdr:cNvPr id="961" name="ID_2633056A73224637AD5E374B4E0F6443"/>
        <xdr:cNvPicPr>
          <a:picLocks noChangeAspect="1"/>
        </xdr:cNvPicPr>
      </xdr:nvPicPr>
      <xdr:blipFill>
        <a:blip r:embed="rId564"/>
        <a:stretch>
          <a:fillRect/>
        </a:stretch>
      </xdr:blipFill>
      <xdr:spPr>
        <a:xfrm>
          <a:off x="14921865" y="34532570"/>
          <a:ext cx="7381875" cy="3067050"/>
        </a:xfrm>
        <a:prstGeom prst="rect">
          <a:avLst/>
        </a:prstGeom>
        <a:noFill/>
        <a:ln w="9525">
          <a:noFill/>
        </a:ln>
      </xdr:spPr>
    </xdr:pic>
  </etc:cellImage>
  <etc:cellImage>
    <xdr:pic>
      <xdr:nvPicPr>
        <xdr:cNvPr id="962" name="ID_6CF0750EE504457D9031CA35C0C7234B"/>
        <xdr:cNvPicPr>
          <a:picLocks noChangeAspect="1"/>
        </xdr:cNvPicPr>
      </xdr:nvPicPr>
      <xdr:blipFill>
        <a:blip r:embed="rId565"/>
        <a:stretch>
          <a:fillRect/>
        </a:stretch>
      </xdr:blipFill>
      <xdr:spPr>
        <a:xfrm>
          <a:off x="14921865" y="24893270"/>
          <a:ext cx="7600950" cy="3086100"/>
        </a:xfrm>
        <a:prstGeom prst="rect">
          <a:avLst/>
        </a:prstGeom>
        <a:noFill/>
        <a:ln w="9525">
          <a:noFill/>
        </a:ln>
      </xdr:spPr>
    </xdr:pic>
  </etc:cellImage>
  <etc:cellImage>
    <xdr:pic>
      <xdr:nvPicPr>
        <xdr:cNvPr id="963" name="ID_28E1589237D84315ADA4E2BF72980D50"/>
        <xdr:cNvPicPr>
          <a:picLocks noChangeAspect="1"/>
        </xdr:cNvPicPr>
      </xdr:nvPicPr>
      <xdr:blipFill>
        <a:blip r:embed="rId566"/>
        <a:stretch>
          <a:fillRect/>
        </a:stretch>
      </xdr:blipFill>
      <xdr:spPr>
        <a:xfrm>
          <a:off x="14921865" y="14834870"/>
          <a:ext cx="2771775" cy="2552700"/>
        </a:xfrm>
        <a:prstGeom prst="rect">
          <a:avLst/>
        </a:prstGeom>
        <a:noFill/>
        <a:ln w="9525">
          <a:noFill/>
        </a:ln>
      </xdr:spPr>
    </xdr:pic>
  </etc:cellImage>
  <etc:cellImage>
    <xdr:pic>
      <xdr:nvPicPr>
        <xdr:cNvPr id="964" name="ID_33BAC90803A94464B9336D1577CC63E0"/>
        <xdr:cNvPicPr>
          <a:picLocks noChangeAspect="1"/>
        </xdr:cNvPicPr>
      </xdr:nvPicPr>
      <xdr:blipFill>
        <a:blip r:embed="rId567"/>
        <a:stretch>
          <a:fillRect/>
        </a:stretch>
      </xdr:blipFill>
      <xdr:spPr>
        <a:xfrm>
          <a:off x="14921865" y="15253970"/>
          <a:ext cx="7439025" cy="3076575"/>
        </a:xfrm>
        <a:prstGeom prst="rect">
          <a:avLst/>
        </a:prstGeom>
        <a:noFill/>
        <a:ln w="9525">
          <a:noFill/>
        </a:ln>
      </xdr:spPr>
    </xdr:pic>
  </etc:cellImage>
  <etc:cellImage>
    <xdr:pic>
      <xdr:nvPicPr>
        <xdr:cNvPr id="965" name="ID_BF22567395F346A1B391B13D86C87D9C"/>
        <xdr:cNvPicPr>
          <a:picLocks noChangeAspect="1"/>
        </xdr:cNvPicPr>
      </xdr:nvPicPr>
      <xdr:blipFill>
        <a:blip r:embed="rId568"/>
        <a:stretch>
          <a:fillRect/>
        </a:stretch>
      </xdr:blipFill>
      <xdr:spPr>
        <a:xfrm>
          <a:off x="14921865" y="16092170"/>
          <a:ext cx="7839075" cy="2181225"/>
        </a:xfrm>
        <a:prstGeom prst="rect">
          <a:avLst/>
        </a:prstGeom>
        <a:noFill/>
        <a:ln w="9525">
          <a:noFill/>
        </a:ln>
      </xdr:spPr>
    </xdr:pic>
  </etc:cellImage>
  <etc:cellImage>
    <xdr:pic>
      <xdr:nvPicPr>
        <xdr:cNvPr id="966" name="ID_1B29C2C6FAB046D78BB02A6F3DF485BC"/>
        <xdr:cNvPicPr>
          <a:picLocks noChangeAspect="1"/>
        </xdr:cNvPicPr>
      </xdr:nvPicPr>
      <xdr:blipFill>
        <a:blip r:embed="rId569"/>
        <a:stretch>
          <a:fillRect/>
        </a:stretch>
      </xdr:blipFill>
      <xdr:spPr>
        <a:xfrm>
          <a:off x="14921865" y="16930370"/>
          <a:ext cx="7686675" cy="1123950"/>
        </a:xfrm>
        <a:prstGeom prst="rect">
          <a:avLst/>
        </a:prstGeom>
        <a:noFill/>
        <a:ln w="9525">
          <a:noFill/>
        </a:ln>
      </xdr:spPr>
    </xdr:pic>
  </etc:cellImage>
  <etc:cellImage>
    <xdr:pic>
      <xdr:nvPicPr>
        <xdr:cNvPr id="967" name="ID_EB5C53D9368D472E8A1252BA3D70B3EB"/>
        <xdr:cNvPicPr>
          <a:picLocks noChangeAspect="1"/>
        </xdr:cNvPicPr>
      </xdr:nvPicPr>
      <xdr:blipFill>
        <a:blip r:embed="rId570"/>
        <a:stretch>
          <a:fillRect/>
        </a:stretch>
      </xdr:blipFill>
      <xdr:spPr>
        <a:xfrm>
          <a:off x="14921865" y="37466270"/>
          <a:ext cx="9563100" cy="3657600"/>
        </a:xfrm>
        <a:prstGeom prst="rect">
          <a:avLst/>
        </a:prstGeom>
        <a:noFill/>
        <a:ln w="9525">
          <a:noFill/>
        </a:ln>
      </xdr:spPr>
    </xdr:pic>
  </etc:cellImage>
  <etc:cellImage>
    <xdr:pic>
      <xdr:nvPicPr>
        <xdr:cNvPr id="968" name="ID_215930AD640147D5B8E67A08CC8FDE69"/>
        <xdr:cNvPicPr>
          <a:picLocks noChangeAspect="1"/>
        </xdr:cNvPicPr>
      </xdr:nvPicPr>
      <xdr:blipFill>
        <a:blip r:embed="rId571"/>
        <a:stretch>
          <a:fillRect/>
        </a:stretch>
      </xdr:blipFill>
      <xdr:spPr>
        <a:xfrm>
          <a:off x="14921865" y="17768570"/>
          <a:ext cx="7839075" cy="3057525"/>
        </a:xfrm>
        <a:prstGeom prst="rect">
          <a:avLst/>
        </a:prstGeom>
        <a:noFill/>
        <a:ln w="9525">
          <a:noFill/>
        </a:ln>
      </xdr:spPr>
    </xdr:pic>
  </etc:cellImage>
  <etc:cellImage>
    <xdr:pic>
      <xdr:nvPicPr>
        <xdr:cNvPr id="969" name="ID_AE57696632F04FDCA35349985B3D05F0"/>
        <xdr:cNvPicPr>
          <a:picLocks noChangeAspect="1"/>
        </xdr:cNvPicPr>
      </xdr:nvPicPr>
      <xdr:blipFill>
        <a:blip r:embed="rId572"/>
        <a:stretch>
          <a:fillRect/>
        </a:stretch>
      </xdr:blipFill>
      <xdr:spPr>
        <a:xfrm>
          <a:off x="14921865" y="18606770"/>
          <a:ext cx="7924800" cy="3105150"/>
        </a:xfrm>
        <a:prstGeom prst="rect">
          <a:avLst/>
        </a:prstGeom>
        <a:noFill/>
        <a:ln w="9525">
          <a:noFill/>
        </a:ln>
      </xdr:spPr>
    </xdr:pic>
  </etc:cellImage>
  <etc:cellImage>
    <xdr:pic>
      <xdr:nvPicPr>
        <xdr:cNvPr id="970" name="ID_2FFD3EDB7F4C4EFE8E05940D98BEEB52"/>
        <xdr:cNvPicPr>
          <a:picLocks noChangeAspect="1"/>
        </xdr:cNvPicPr>
      </xdr:nvPicPr>
      <xdr:blipFill>
        <a:blip r:embed="rId573"/>
        <a:stretch>
          <a:fillRect/>
        </a:stretch>
      </xdr:blipFill>
      <xdr:spPr>
        <a:xfrm>
          <a:off x="14921865" y="38723570"/>
          <a:ext cx="6934200" cy="3095625"/>
        </a:xfrm>
        <a:prstGeom prst="rect">
          <a:avLst/>
        </a:prstGeom>
        <a:noFill/>
        <a:ln w="9525">
          <a:noFill/>
        </a:ln>
      </xdr:spPr>
    </xdr:pic>
  </etc:cellImage>
  <etc:cellImage>
    <xdr:pic>
      <xdr:nvPicPr>
        <xdr:cNvPr id="971" name="ID_BA9FD6385C994286AB86C564C6977238"/>
        <xdr:cNvPicPr>
          <a:picLocks noChangeAspect="1"/>
        </xdr:cNvPicPr>
      </xdr:nvPicPr>
      <xdr:blipFill>
        <a:blip r:embed="rId574"/>
        <a:stretch>
          <a:fillRect/>
        </a:stretch>
      </xdr:blipFill>
      <xdr:spPr>
        <a:xfrm>
          <a:off x="14921865" y="29084270"/>
          <a:ext cx="8191500" cy="3076575"/>
        </a:xfrm>
        <a:prstGeom prst="rect">
          <a:avLst/>
        </a:prstGeom>
        <a:noFill/>
        <a:ln w="9525">
          <a:noFill/>
        </a:ln>
      </xdr:spPr>
    </xdr:pic>
  </etc:cellImage>
  <etc:cellImage>
    <xdr:pic>
      <xdr:nvPicPr>
        <xdr:cNvPr id="972" name="ID_7A83985FC3204474A0580C8E81AD1F22"/>
        <xdr:cNvPicPr>
          <a:picLocks noChangeAspect="1"/>
        </xdr:cNvPicPr>
      </xdr:nvPicPr>
      <xdr:blipFill>
        <a:blip r:embed="rId575"/>
        <a:stretch>
          <a:fillRect/>
        </a:stretch>
      </xdr:blipFill>
      <xdr:spPr>
        <a:xfrm>
          <a:off x="14921865" y="19025870"/>
          <a:ext cx="7858125" cy="3076575"/>
        </a:xfrm>
        <a:prstGeom prst="rect">
          <a:avLst/>
        </a:prstGeom>
        <a:noFill/>
        <a:ln w="9525">
          <a:noFill/>
        </a:ln>
      </xdr:spPr>
    </xdr:pic>
  </etc:cellImage>
  <etc:cellImage>
    <xdr:pic>
      <xdr:nvPicPr>
        <xdr:cNvPr id="973" name="ID_74764A49CA0C42C3A14FD5500D1B3D2C"/>
        <xdr:cNvPicPr>
          <a:picLocks noChangeAspect="1"/>
        </xdr:cNvPicPr>
      </xdr:nvPicPr>
      <xdr:blipFill>
        <a:blip r:embed="rId576"/>
        <a:stretch>
          <a:fillRect/>
        </a:stretch>
      </xdr:blipFill>
      <xdr:spPr>
        <a:xfrm>
          <a:off x="14921865" y="39142670"/>
          <a:ext cx="7000875" cy="1638300"/>
        </a:xfrm>
        <a:prstGeom prst="rect">
          <a:avLst/>
        </a:prstGeom>
        <a:noFill/>
        <a:ln w="9525">
          <a:noFill/>
        </a:ln>
      </xdr:spPr>
    </xdr:pic>
  </etc:cellImage>
  <etc:cellImage>
    <xdr:pic>
      <xdr:nvPicPr>
        <xdr:cNvPr id="974" name="ID_1668846106224B288621561AC7539570"/>
        <xdr:cNvPicPr>
          <a:picLocks noChangeAspect="1"/>
        </xdr:cNvPicPr>
      </xdr:nvPicPr>
      <xdr:blipFill>
        <a:blip r:embed="rId577"/>
        <a:stretch>
          <a:fillRect/>
        </a:stretch>
      </xdr:blipFill>
      <xdr:spPr>
        <a:xfrm>
          <a:off x="14921865" y="19444970"/>
          <a:ext cx="7896225" cy="3067050"/>
        </a:xfrm>
        <a:prstGeom prst="rect">
          <a:avLst/>
        </a:prstGeom>
        <a:noFill/>
        <a:ln w="9525">
          <a:noFill/>
        </a:ln>
      </xdr:spPr>
    </xdr:pic>
  </etc:cellImage>
  <etc:cellImage>
    <xdr:pic>
      <xdr:nvPicPr>
        <xdr:cNvPr id="975" name="ID_964B63CDE36B4CC9BADF253D7EB0E314"/>
        <xdr:cNvPicPr>
          <a:picLocks noChangeAspect="1"/>
        </xdr:cNvPicPr>
      </xdr:nvPicPr>
      <xdr:blipFill>
        <a:blip r:embed="rId578"/>
        <a:stretch>
          <a:fillRect/>
        </a:stretch>
      </xdr:blipFill>
      <xdr:spPr>
        <a:xfrm>
          <a:off x="14921865" y="20283170"/>
          <a:ext cx="7600950" cy="2552700"/>
        </a:xfrm>
        <a:prstGeom prst="rect">
          <a:avLst/>
        </a:prstGeom>
        <a:noFill/>
        <a:ln w="9525">
          <a:noFill/>
        </a:ln>
      </xdr:spPr>
    </xdr:pic>
  </etc:cellImage>
  <etc:cellImage>
    <xdr:pic>
      <xdr:nvPicPr>
        <xdr:cNvPr id="976" name="ID_7CB083882A4A4FA6B86F202E8235347D"/>
        <xdr:cNvPicPr>
          <a:picLocks noChangeAspect="1"/>
        </xdr:cNvPicPr>
      </xdr:nvPicPr>
      <xdr:blipFill>
        <a:blip r:embed="rId579"/>
        <a:stretch>
          <a:fillRect/>
        </a:stretch>
      </xdr:blipFill>
      <xdr:spPr>
        <a:xfrm>
          <a:off x="14921865" y="21540470"/>
          <a:ext cx="7581900" cy="3028950"/>
        </a:xfrm>
        <a:prstGeom prst="rect">
          <a:avLst/>
        </a:prstGeom>
        <a:noFill/>
        <a:ln w="9525">
          <a:noFill/>
        </a:ln>
      </xdr:spPr>
    </xdr:pic>
  </etc:cellImage>
  <etc:cellImage>
    <xdr:pic>
      <xdr:nvPicPr>
        <xdr:cNvPr id="977" name="ID_4AB5C043BD3840E3AB7235584F021FA0"/>
        <xdr:cNvPicPr>
          <a:picLocks noChangeAspect="1"/>
        </xdr:cNvPicPr>
      </xdr:nvPicPr>
      <xdr:blipFill>
        <a:blip r:embed="rId580"/>
        <a:stretch>
          <a:fillRect/>
        </a:stretch>
      </xdr:blipFill>
      <xdr:spPr>
        <a:xfrm>
          <a:off x="14921865" y="23216870"/>
          <a:ext cx="7600950" cy="3124200"/>
        </a:xfrm>
        <a:prstGeom prst="rect">
          <a:avLst/>
        </a:prstGeom>
        <a:noFill/>
        <a:ln w="9525">
          <a:noFill/>
        </a:ln>
      </xdr:spPr>
    </xdr:pic>
  </etc:cellImage>
  <etc:cellImage>
    <xdr:pic>
      <xdr:nvPicPr>
        <xdr:cNvPr id="978" name="ID_BC42504DF6524D729202C62E33A76AB5"/>
        <xdr:cNvPicPr>
          <a:picLocks noChangeAspect="1"/>
        </xdr:cNvPicPr>
      </xdr:nvPicPr>
      <xdr:blipFill>
        <a:blip r:embed="rId581"/>
        <a:stretch>
          <a:fillRect/>
        </a:stretch>
      </xdr:blipFill>
      <xdr:spPr>
        <a:xfrm>
          <a:off x="14921865" y="41238170"/>
          <a:ext cx="7010400" cy="3095625"/>
        </a:xfrm>
        <a:prstGeom prst="rect">
          <a:avLst/>
        </a:prstGeom>
        <a:noFill/>
        <a:ln w="9525">
          <a:noFill/>
        </a:ln>
      </xdr:spPr>
    </xdr:pic>
  </etc:cellImage>
  <etc:cellImage>
    <xdr:pic>
      <xdr:nvPicPr>
        <xdr:cNvPr id="979" name="ID_12C2259ADCDA4577A89C569651688948"/>
        <xdr:cNvPicPr>
          <a:picLocks noChangeAspect="1"/>
        </xdr:cNvPicPr>
      </xdr:nvPicPr>
      <xdr:blipFill>
        <a:blip r:embed="rId582"/>
        <a:stretch>
          <a:fillRect/>
        </a:stretch>
      </xdr:blipFill>
      <xdr:spPr>
        <a:xfrm>
          <a:off x="14921865" y="26150570"/>
          <a:ext cx="7610475" cy="1066800"/>
        </a:xfrm>
        <a:prstGeom prst="rect">
          <a:avLst/>
        </a:prstGeom>
        <a:noFill/>
        <a:ln w="9525">
          <a:noFill/>
        </a:ln>
      </xdr:spPr>
    </xdr:pic>
  </etc:cellImage>
  <etc:cellImage>
    <xdr:pic>
      <xdr:nvPicPr>
        <xdr:cNvPr id="980" name="ID_706843C5C50B42308CECF2A77B1B3D10"/>
        <xdr:cNvPicPr>
          <a:picLocks noChangeAspect="1"/>
        </xdr:cNvPicPr>
      </xdr:nvPicPr>
      <xdr:blipFill>
        <a:blip r:embed="rId583"/>
        <a:stretch>
          <a:fillRect/>
        </a:stretch>
      </xdr:blipFill>
      <xdr:spPr>
        <a:xfrm>
          <a:off x="14921865" y="37047170"/>
          <a:ext cx="8020050" cy="1276350"/>
        </a:xfrm>
        <a:prstGeom prst="rect">
          <a:avLst/>
        </a:prstGeom>
        <a:noFill/>
        <a:ln w="9525">
          <a:noFill/>
        </a:ln>
      </xdr:spPr>
    </xdr:pic>
  </etc:cellImage>
  <etc:cellImage>
    <xdr:pic>
      <xdr:nvPicPr>
        <xdr:cNvPr id="981" name="ID_80946248581145C4875C4E96CFF08C52"/>
        <xdr:cNvPicPr>
          <a:picLocks noChangeAspect="1"/>
        </xdr:cNvPicPr>
      </xdr:nvPicPr>
      <xdr:blipFill>
        <a:blip r:embed="rId584"/>
        <a:stretch>
          <a:fillRect/>
        </a:stretch>
      </xdr:blipFill>
      <xdr:spPr>
        <a:xfrm>
          <a:off x="14921865" y="27407870"/>
          <a:ext cx="7648575" cy="1476375"/>
        </a:xfrm>
        <a:prstGeom prst="rect">
          <a:avLst/>
        </a:prstGeom>
        <a:noFill/>
        <a:ln w="9525">
          <a:noFill/>
        </a:ln>
      </xdr:spPr>
    </xdr:pic>
  </etc:cellImage>
  <etc:cellImage>
    <xdr:pic>
      <xdr:nvPicPr>
        <xdr:cNvPr id="982" name="ID_56364F2901A24E60A39ACF7B5C281432"/>
        <xdr:cNvPicPr>
          <a:picLocks noChangeAspect="1"/>
        </xdr:cNvPicPr>
      </xdr:nvPicPr>
      <xdr:blipFill>
        <a:blip r:embed="rId585"/>
        <a:stretch>
          <a:fillRect/>
        </a:stretch>
      </xdr:blipFill>
      <xdr:spPr>
        <a:xfrm>
          <a:off x="14921865" y="67431920"/>
          <a:ext cx="6981825" cy="3067050"/>
        </a:xfrm>
        <a:prstGeom prst="rect">
          <a:avLst/>
        </a:prstGeom>
        <a:noFill/>
        <a:ln w="9525">
          <a:noFill/>
        </a:ln>
      </xdr:spPr>
    </xdr:pic>
  </etc:cellImage>
  <etc:cellImage>
    <xdr:pic>
      <xdr:nvPicPr>
        <xdr:cNvPr id="983" name="ID_B9BACA700D574C69BCF17F82BB521D4D"/>
        <xdr:cNvPicPr>
          <a:picLocks noChangeAspect="1"/>
        </xdr:cNvPicPr>
      </xdr:nvPicPr>
      <xdr:blipFill>
        <a:blip r:embed="rId586"/>
        <a:stretch>
          <a:fillRect/>
        </a:stretch>
      </xdr:blipFill>
      <xdr:spPr>
        <a:xfrm>
          <a:off x="14921865" y="28665170"/>
          <a:ext cx="7629525" cy="3028950"/>
        </a:xfrm>
        <a:prstGeom prst="rect">
          <a:avLst/>
        </a:prstGeom>
        <a:noFill/>
        <a:ln w="9525">
          <a:noFill/>
        </a:ln>
      </xdr:spPr>
    </xdr:pic>
  </etc:cellImage>
  <etc:cellImage>
    <xdr:pic>
      <xdr:nvPicPr>
        <xdr:cNvPr id="984" name="ID_2E4B23C6DD0345EC9BE94DDC4748435C"/>
        <xdr:cNvPicPr>
          <a:picLocks noChangeAspect="1"/>
        </xdr:cNvPicPr>
      </xdr:nvPicPr>
      <xdr:blipFill>
        <a:blip r:embed="rId587"/>
        <a:stretch>
          <a:fillRect/>
        </a:stretch>
      </xdr:blipFill>
      <xdr:spPr>
        <a:xfrm>
          <a:off x="14921865" y="29503370"/>
          <a:ext cx="8229600" cy="3095625"/>
        </a:xfrm>
        <a:prstGeom prst="rect">
          <a:avLst/>
        </a:prstGeom>
        <a:noFill/>
        <a:ln w="9525">
          <a:noFill/>
        </a:ln>
      </xdr:spPr>
    </xdr:pic>
  </etc:cellImage>
  <etc:cellImage>
    <xdr:pic>
      <xdr:nvPicPr>
        <xdr:cNvPr id="985" name="ID_0204B0C3CA5D4E52BB9FD79C9412B534"/>
        <xdr:cNvPicPr>
          <a:picLocks noChangeAspect="1"/>
        </xdr:cNvPicPr>
      </xdr:nvPicPr>
      <xdr:blipFill>
        <a:blip r:embed="rId588"/>
        <a:stretch>
          <a:fillRect/>
        </a:stretch>
      </xdr:blipFill>
      <xdr:spPr>
        <a:xfrm>
          <a:off x="14921865" y="29922470"/>
          <a:ext cx="8258175" cy="3057525"/>
        </a:xfrm>
        <a:prstGeom prst="rect">
          <a:avLst/>
        </a:prstGeom>
        <a:noFill/>
        <a:ln w="9525">
          <a:noFill/>
        </a:ln>
      </xdr:spPr>
    </xdr:pic>
  </etc:cellImage>
  <etc:cellImage>
    <xdr:pic>
      <xdr:nvPicPr>
        <xdr:cNvPr id="986" name="ID_8ABE13F4074A491390B66A6B79E68FD1"/>
        <xdr:cNvPicPr>
          <a:picLocks noChangeAspect="1"/>
        </xdr:cNvPicPr>
      </xdr:nvPicPr>
      <xdr:blipFill>
        <a:blip r:embed="rId589"/>
        <a:stretch>
          <a:fillRect/>
        </a:stretch>
      </xdr:blipFill>
      <xdr:spPr>
        <a:xfrm>
          <a:off x="14921865" y="77909420"/>
          <a:ext cx="8058150" cy="3095625"/>
        </a:xfrm>
        <a:prstGeom prst="rect">
          <a:avLst/>
        </a:prstGeom>
        <a:noFill/>
        <a:ln w="9525">
          <a:noFill/>
        </a:ln>
      </xdr:spPr>
    </xdr:pic>
  </etc:cellImage>
  <etc:cellImage>
    <xdr:pic>
      <xdr:nvPicPr>
        <xdr:cNvPr id="987" name="ID_B7D38D1EC9314A8B989A9C1F7302CBDC"/>
        <xdr:cNvPicPr>
          <a:picLocks noChangeAspect="1"/>
        </xdr:cNvPicPr>
      </xdr:nvPicPr>
      <xdr:blipFill>
        <a:blip r:embed="rId590"/>
        <a:stretch>
          <a:fillRect/>
        </a:stretch>
      </xdr:blipFill>
      <xdr:spPr>
        <a:xfrm>
          <a:off x="14921865" y="68270120"/>
          <a:ext cx="7972425" cy="3133725"/>
        </a:xfrm>
        <a:prstGeom prst="rect">
          <a:avLst/>
        </a:prstGeom>
        <a:noFill/>
        <a:ln w="9525">
          <a:noFill/>
        </a:ln>
      </xdr:spPr>
    </xdr:pic>
  </etc:cellImage>
  <etc:cellImage>
    <xdr:pic>
      <xdr:nvPicPr>
        <xdr:cNvPr id="988" name="ID_C58EAEB72F3848D5B10822829F4912EC"/>
        <xdr:cNvPicPr>
          <a:picLocks noChangeAspect="1"/>
        </xdr:cNvPicPr>
      </xdr:nvPicPr>
      <xdr:blipFill>
        <a:blip r:embed="rId591"/>
        <a:stretch>
          <a:fillRect/>
        </a:stretch>
      </xdr:blipFill>
      <xdr:spPr>
        <a:xfrm>
          <a:off x="14921865" y="58630820"/>
          <a:ext cx="7019925" cy="3086100"/>
        </a:xfrm>
        <a:prstGeom prst="rect">
          <a:avLst/>
        </a:prstGeom>
        <a:noFill/>
        <a:ln w="9525">
          <a:noFill/>
        </a:ln>
      </xdr:spPr>
    </xdr:pic>
  </etc:cellImage>
  <etc:cellImage>
    <xdr:pic>
      <xdr:nvPicPr>
        <xdr:cNvPr id="989" name="ID_A75552A983EE49C99E84BDE9611C5EB3"/>
        <xdr:cNvPicPr>
          <a:picLocks noChangeAspect="1"/>
        </xdr:cNvPicPr>
      </xdr:nvPicPr>
      <xdr:blipFill>
        <a:blip r:embed="rId592"/>
        <a:stretch>
          <a:fillRect/>
        </a:stretch>
      </xdr:blipFill>
      <xdr:spPr>
        <a:xfrm>
          <a:off x="14921865" y="49201070"/>
          <a:ext cx="6972300" cy="1666875"/>
        </a:xfrm>
        <a:prstGeom prst="rect">
          <a:avLst/>
        </a:prstGeom>
        <a:noFill/>
        <a:ln w="9525">
          <a:noFill/>
        </a:ln>
      </xdr:spPr>
    </xdr:pic>
  </etc:cellImage>
  <etc:cellImage>
    <xdr:pic>
      <xdr:nvPicPr>
        <xdr:cNvPr id="990" name="ID_41DE90CAAAB842E9BC35C7FC68D3A3C0"/>
        <xdr:cNvPicPr>
          <a:picLocks noChangeAspect="1"/>
        </xdr:cNvPicPr>
      </xdr:nvPicPr>
      <xdr:blipFill>
        <a:blip r:embed="rId593"/>
        <a:stretch>
          <a:fillRect/>
        </a:stretch>
      </xdr:blipFill>
      <xdr:spPr>
        <a:xfrm>
          <a:off x="14921865" y="30341570"/>
          <a:ext cx="8210550" cy="2266950"/>
        </a:xfrm>
        <a:prstGeom prst="rect">
          <a:avLst/>
        </a:prstGeom>
        <a:noFill/>
        <a:ln w="9525">
          <a:noFill/>
        </a:ln>
      </xdr:spPr>
    </xdr:pic>
  </etc:cellImage>
  <etc:cellImage>
    <xdr:pic>
      <xdr:nvPicPr>
        <xdr:cNvPr id="991" name="ID_847150DFAAA64C0BAD63B50273C393C9"/>
        <xdr:cNvPicPr>
          <a:picLocks noChangeAspect="1"/>
        </xdr:cNvPicPr>
      </xdr:nvPicPr>
      <xdr:blipFill>
        <a:blip r:embed="rId594"/>
        <a:stretch>
          <a:fillRect/>
        </a:stretch>
      </xdr:blipFill>
      <xdr:spPr>
        <a:xfrm>
          <a:off x="14921865" y="31598870"/>
          <a:ext cx="7562850" cy="1790700"/>
        </a:xfrm>
        <a:prstGeom prst="rect">
          <a:avLst/>
        </a:prstGeom>
        <a:noFill/>
        <a:ln w="9525">
          <a:noFill/>
        </a:ln>
      </xdr:spPr>
    </xdr:pic>
  </etc:cellImage>
  <etc:cellImage>
    <xdr:pic>
      <xdr:nvPicPr>
        <xdr:cNvPr id="992" name="ID_FF5D790D84414BDB8B55322F31D97E3C"/>
        <xdr:cNvPicPr>
          <a:picLocks noChangeAspect="1"/>
        </xdr:cNvPicPr>
      </xdr:nvPicPr>
      <xdr:blipFill>
        <a:blip r:embed="rId595"/>
        <a:stretch>
          <a:fillRect/>
        </a:stretch>
      </xdr:blipFill>
      <xdr:spPr>
        <a:xfrm>
          <a:off x="14921865" y="32856170"/>
          <a:ext cx="7591425" cy="3057525"/>
        </a:xfrm>
        <a:prstGeom prst="rect">
          <a:avLst/>
        </a:prstGeom>
        <a:noFill/>
        <a:ln w="9525">
          <a:noFill/>
        </a:ln>
      </xdr:spPr>
    </xdr:pic>
  </etc:cellImage>
  <etc:cellImage>
    <xdr:pic>
      <xdr:nvPicPr>
        <xdr:cNvPr id="993" name="ID_2126FF825EB54A5D8EDD8C52E2464AF9"/>
        <xdr:cNvPicPr>
          <a:picLocks noChangeAspect="1"/>
        </xdr:cNvPicPr>
      </xdr:nvPicPr>
      <xdr:blipFill>
        <a:blip r:embed="rId596"/>
        <a:stretch>
          <a:fillRect/>
        </a:stretch>
      </xdr:blipFill>
      <xdr:spPr>
        <a:xfrm>
          <a:off x="14921865" y="33275270"/>
          <a:ext cx="7620000" cy="1066800"/>
        </a:xfrm>
        <a:prstGeom prst="rect">
          <a:avLst/>
        </a:prstGeom>
        <a:noFill/>
        <a:ln w="9525">
          <a:noFill/>
        </a:ln>
      </xdr:spPr>
    </xdr:pic>
  </etc:cellImage>
  <etc:cellImage>
    <xdr:pic>
      <xdr:nvPicPr>
        <xdr:cNvPr id="994" name="ID_5CDABD13B7DF41B99CD363E37E515357"/>
        <xdr:cNvPicPr>
          <a:picLocks noChangeAspect="1"/>
        </xdr:cNvPicPr>
      </xdr:nvPicPr>
      <xdr:blipFill>
        <a:blip r:embed="rId597"/>
        <a:stretch>
          <a:fillRect/>
        </a:stretch>
      </xdr:blipFill>
      <xdr:spPr>
        <a:xfrm>
          <a:off x="14921865" y="34113470"/>
          <a:ext cx="8286750" cy="3105150"/>
        </a:xfrm>
        <a:prstGeom prst="rect">
          <a:avLst/>
        </a:prstGeom>
        <a:noFill/>
        <a:ln w="9525">
          <a:noFill/>
        </a:ln>
      </xdr:spPr>
    </xdr:pic>
  </etc:cellImage>
  <etc:cellImage>
    <xdr:pic>
      <xdr:nvPicPr>
        <xdr:cNvPr id="995" name="ID_DEB95CA0C61C4255B2571B83D80D935D"/>
        <xdr:cNvPicPr>
          <a:picLocks noChangeAspect="1"/>
        </xdr:cNvPicPr>
      </xdr:nvPicPr>
      <xdr:blipFill>
        <a:blip r:embed="rId598"/>
        <a:stretch>
          <a:fillRect/>
        </a:stretch>
      </xdr:blipFill>
      <xdr:spPr>
        <a:xfrm>
          <a:off x="14921865" y="34951670"/>
          <a:ext cx="7505700" cy="1847850"/>
        </a:xfrm>
        <a:prstGeom prst="rect">
          <a:avLst/>
        </a:prstGeom>
        <a:noFill/>
        <a:ln w="9525">
          <a:noFill/>
        </a:ln>
      </xdr:spPr>
    </xdr:pic>
  </etc:cellImage>
  <etc:cellImage>
    <xdr:pic>
      <xdr:nvPicPr>
        <xdr:cNvPr id="996" name="ID_58DD6F7B7E704582ABDF14A88837D183"/>
        <xdr:cNvPicPr>
          <a:picLocks noChangeAspect="1"/>
        </xdr:cNvPicPr>
      </xdr:nvPicPr>
      <xdr:blipFill>
        <a:blip r:embed="rId599"/>
        <a:stretch>
          <a:fillRect/>
        </a:stretch>
      </xdr:blipFill>
      <xdr:spPr>
        <a:xfrm>
          <a:off x="14921865" y="35370770"/>
          <a:ext cx="7467600" cy="3057525"/>
        </a:xfrm>
        <a:prstGeom prst="rect">
          <a:avLst/>
        </a:prstGeom>
        <a:noFill/>
        <a:ln w="9525">
          <a:noFill/>
        </a:ln>
      </xdr:spPr>
    </xdr:pic>
  </etc:cellImage>
  <etc:cellImage>
    <xdr:pic>
      <xdr:nvPicPr>
        <xdr:cNvPr id="997" name="ID_07B539EB93A54441BFF643380CD670CB"/>
        <xdr:cNvPicPr>
          <a:picLocks noChangeAspect="1"/>
        </xdr:cNvPicPr>
      </xdr:nvPicPr>
      <xdr:blipFill>
        <a:blip r:embed="rId600"/>
        <a:stretch>
          <a:fillRect/>
        </a:stretch>
      </xdr:blipFill>
      <xdr:spPr>
        <a:xfrm>
          <a:off x="14921865" y="35789870"/>
          <a:ext cx="7467600" cy="3028950"/>
        </a:xfrm>
        <a:prstGeom prst="rect">
          <a:avLst/>
        </a:prstGeom>
        <a:noFill/>
        <a:ln w="9525">
          <a:noFill/>
        </a:ln>
      </xdr:spPr>
    </xdr:pic>
  </etc:cellImage>
  <etc:cellImage>
    <xdr:pic>
      <xdr:nvPicPr>
        <xdr:cNvPr id="998" name="ID_00722BC713DC4CDA9440407CDC032333"/>
        <xdr:cNvPicPr>
          <a:picLocks noChangeAspect="1"/>
        </xdr:cNvPicPr>
      </xdr:nvPicPr>
      <xdr:blipFill>
        <a:blip r:embed="rId601"/>
        <a:stretch>
          <a:fillRect/>
        </a:stretch>
      </xdr:blipFill>
      <xdr:spPr>
        <a:xfrm>
          <a:off x="14921865" y="36628070"/>
          <a:ext cx="7896225" cy="3048000"/>
        </a:xfrm>
        <a:prstGeom prst="rect">
          <a:avLst/>
        </a:prstGeom>
        <a:noFill/>
        <a:ln w="9525">
          <a:noFill/>
        </a:ln>
      </xdr:spPr>
    </xdr:pic>
  </etc:cellImage>
  <etc:cellImage>
    <xdr:pic>
      <xdr:nvPicPr>
        <xdr:cNvPr id="999" name="ID_851D484D7D9A46A5912AA03F871CDFA8"/>
        <xdr:cNvPicPr>
          <a:picLocks noChangeAspect="1"/>
        </xdr:cNvPicPr>
      </xdr:nvPicPr>
      <xdr:blipFill>
        <a:blip r:embed="rId602"/>
        <a:stretch>
          <a:fillRect/>
        </a:stretch>
      </xdr:blipFill>
      <xdr:spPr>
        <a:xfrm>
          <a:off x="14921865" y="38304470"/>
          <a:ext cx="8934450" cy="3314700"/>
        </a:xfrm>
        <a:prstGeom prst="rect">
          <a:avLst/>
        </a:prstGeom>
        <a:noFill/>
        <a:ln w="9525">
          <a:noFill/>
        </a:ln>
      </xdr:spPr>
    </xdr:pic>
  </etc:cellImage>
  <etc:cellImage>
    <xdr:pic>
      <xdr:nvPicPr>
        <xdr:cNvPr id="1000" name="ID_67339BE842C94419B64053DCF9D0C67E"/>
        <xdr:cNvPicPr>
          <a:picLocks noChangeAspect="1"/>
        </xdr:cNvPicPr>
      </xdr:nvPicPr>
      <xdr:blipFill>
        <a:blip r:embed="rId603"/>
        <a:stretch>
          <a:fillRect/>
        </a:stretch>
      </xdr:blipFill>
      <xdr:spPr>
        <a:xfrm>
          <a:off x="14921865" y="39561770"/>
          <a:ext cx="6991350" cy="3019425"/>
        </a:xfrm>
        <a:prstGeom prst="rect">
          <a:avLst/>
        </a:prstGeom>
        <a:noFill/>
        <a:ln w="9525">
          <a:noFill/>
        </a:ln>
      </xdr:spPr>
    </xdr:pic>
  </etc:cellImage>
  <etc:cellImage>
    <xdr:pic>
      <xdr:nvPicPr>
        <xdr:cNvPr id="1001" name="ID_C66448048ED54B699CCE771FB4E3A92D"/>
        <xdr:cNvPicPr>
          <a:picLocks noChangeAspect="1"/>
        </xdr:cNvPicPr>
      </xdr:nvPicPr>
      <xdr:blipFill>
        <a:blip r:embed="rId604"/>
        <a:stretch>
          <a:fillRect/>
        </a:stretch>
      </xdr:blipFill>
      <xdr:spPr>
        <a:xfrm>
          <a:off x="14921865" y="39980870"/>
          <a:ext cx="7048500" cy="1057275"/>
        </a:xfrm>
        <a:prstGeom prst="rect">
          <a:avLst/>
        </a:prstGeom>
        <a:noFill/>
        <a:ln w="9525">
          <a:noFill/>
        </a:ln>
      </xdr:spPr>
    </xdr:pic>
  </etc:cellImage>
  <etc:cellImage>
    <xdr:pic>
      <xdr:nvPicPr>
        <xdr:cNvPr id="1002" name="ID_DA06930E626A4AA69FA580BACB6A0D39"/>
        <xdr:cNvPicPr>
          <a:picLocks noChangeAspect="1"/>
        </xdr:cNvPicPr>
      </xdr:nvPicPr>
      <xdr:blipFill>
        <a:blip r:embed="rId605"/>
        <a:stretch>
          <a:fillRect/>
        </a:stretch>
      </xdr:blipFill>
      <xdr:spPr>
        <a:xfrm>
          <a:off x="14921865" y="40819070"/>
          <a:ext cx="6962775" cy="1228725"/>
        </a:xfrm>
        <a:prstGeom prst="rect">
          <a:avLst/>
        </a:prstGeom>
        <a:noFill/>
        <a:ln w="9525">
          <a:noFill/>
        </a:ln>
      </xdr:spPr>
    </xdr:pic>
  </etc:cellImage>
  <etc:cellImage>
    <xdr:pic>
      <xdr:nvPicPr>
        <xdr:cNvPr id="1003" name="ID_3763FE47431B41B6BC5D7EAD6D672D91"/>
        <xdr:cNvPicPr>
          <a:picLocks noChangeAspect="1"/>
        </xdr:cNvPicPr>
      </xdr:nvPicPr>
      <xdr:blipFill>
        <a:blip r:embed="rId606"/>
        <a:stretch>
          <a:fillRect/>
        </a:stretch>
      </xdr:blipFill>
      <xdr:spPr>
        <a:xfrm>
          <a:off x="14921865" y="51296570"/>
          <a:ext cx="7467600" cy="3019425"/>
        </a:xfrm>
        <a:prstGeom prst="rect">
          <a:avLst/>
        </a:prstGeom>
        <a:noFill/>
        <a:ln w="9525">
          <a:noFill/>
        </a:ln>
      </xdr:spPr>
    </xdr:pic>
  </etc:cellImage>
  <etc:cellImage>
    <xdr:pic>
      <xdr:nvPicPr>
        <xdr:cNvPr id="1004" name="ID_BC914FB4A12943A6A6D5B82CA0557288"/>
        <xdr:cNvPicPr>
          <a:picLocks noChangeAspect="1"/>
        </xdr:cNvPicPr>
      </xdr:nvPicPr>
      <xdr:blipFill>
        <a:blip r:embed="rId607"/>
        <a:stretch>
          <a:fillRect/>
        </a:stretch>
      </xdr:blipFill>
      <xdr:spPr>
        <a:xfrm>
          <a:off x="14921865" y="41657270"/>
          <a:ext cx="7467600" cy="3086100"/>
        </a:xfrm>
        <a:prstGeom prst="rect">
          <a:avLst/>
        </a:prstGeom>
        <a:noFill/>
        <a:ln w="9525">
          <a:noFill/>
        </a:ln>
      </xdr:spPr>
    </xdr:pic>
  </etc:cellImage>
  <etc:cellImage>
    <xdr:pic>
      <xdr:nvPicPr>
        <xdr:cNvPr id="1005" name="ID_A5D61572675B47328DA0C961FAA062D3"/>
        <xdr:cNvPicPr>
          <a:picLocks noChangeAspect="1"/>
        </xdr:cNvPicPr>
      </xdr:nvPicPr>
      <xdr:blipFill>
        <a:blip r:embed="rId608"/>
        <a:stretch>
          <a:fillRect/>
        </a:stretch>
      </xdr:blipFill>
      <xdr:spPr>
        <a:xfrm>
          <a:off x="14921865" y="42076370"/>
          <a:ext cx="7486650" cy="1028700"/>
        </a:xfrm>
        <a:prstGeom prst="rect">
          <a:avLst/>
        </a:prstGeom>
        <a:noFill/>
        <a:ln w="9525">
          <a:noFill/>
        </a:ln>
      </xdr:spPr>
    </xdr:pic>
  </etc:cellImage>
  <etc:cellImage>
    <xdr:pic>
      <xdr:nvPicPr>
        <xdr:cNvPr id="1006" name="ID_5DF246C1A8E4403C8EFF5CA51AC92872"/>
        <xdr:cNvPicPr>
          <a:picLocks noChangeAspect="1"/>
        </xdr:cNvPicPr>
      </xdr:nvPicPr>
      <xdr:blipFill>
        <a:blip r:embed="rId609"/>
        <a:stretch>
          <a:fillRect/>
        </a:stretch>
      </xdr:blipFill>
      <xdr:spPr>
        <a:xfrm>
          <a:off x="14921865" y="71203820"/>
          <a:ext cx="7524750" cy="3171825"/>
        </a:xfrm>
        <a:prstGeom prst="rect">
          <a:avLst/>
        </a:prstGeom>
        <a:noFill/>
        <a:ln w="9525">
          <a:noFill/>
        </a:ln>
      </xdr:spPr>
    </xdr:pic>
  </etc:cellImage>
  <etc:cellImage>
    <xdr:pic>
      <xdr:nvPicPr>
        <xdr:cNvPr id="1007" name="ID_2BBB982F02AE46308195DEC9DC4CE0F3"/>
        <xdr:cNvPicPr>
          <a:picLocks noChangeAspect="1"/>
        </xdr:cNvPicPr>
      </xdr:nvPicPr>
      <xdr:blipFill>
        <a:blip r:embed="rId610"/>
        <a:stretch>
          <a:fillRect/>
        </a:stretch>
      </xdr:blipFill>
      <xdr:spPr>
        <a:xfrm>
          <a:off x="14921865" y="61564520"/>
          <a:ext cx="7467600" cy="3114675"/>
        </a:xfrm>
        <a:prstGeom prst="rect">
          <a:avLst/>
        </a:prstGeom>
        <a:noFill/>
        <a:ln w="9525">
          <a:noFill/>
        </a:ln>
      </xdr:spPr>
    </xdr:pic>
  </etc:cellImage>
  <etc:cellImage>
    <xdr:pic>
      <xdr:nvPicPr>
        <xdr:cNvPr id="1008" name="ID_3A28D8030FF246AC9B105D695DBEADD3"/>
        <xdr:cNvPicPr>
          <a:picLocks noChangeAspect="1"/>
        </xdr:cNvPicPr>
      </xdr:nvPicPr>
      <xdr:blipFill>
        <a:blip r:embed="rId611"/>
        <a:stretch>
          <a:fillRect/>
        </a:stretch>
      </xdr:blipFill>
      <xdr:spPr>
        <a:xfrm>
          <a:off x="14921865" y="52134770"/>
          <a:ext cx="7448550" cy="3019425"/>
        </a:xfrm>
        <a:prstGeom prst="rect">
          <a:avLst/>
        </a:prstGeom>
        <a:noFill/>
        <a:ln w="9525">
          <a:noFill/>
        </a:ln>
      </xdr:spPr>
    </xdr:pic>
  </etc:cellImage>
  <etc:cellImage>
    <xdr:pic>
      <xdr:nvPicPr>
        <xdr:cNvPr id="1009" name="ID_7AAB8FD3C19D4864852D97FC07FF2856"/>
        <xdr:cNvPicPr>
          <a:picLocks noChangeAspect="1"/>
        </xdr:cNvPicPr>
      </xdr:nvPicPr>
      <xdr:blipFill>
        <a:blip r:embed="rId612"/>
        <a:stretch>
          <a:fillRect/>
        </a:stretch>
      </xdr:blipFill>
      <xdr:spPr>
        <a:xfrm>
          <a:off x="14921865" y="42495470"/>
          <a:ext cx="6981825" cy="3038475"/>
        </a:xfrm>
        <a:prstGeom prst="rect">
          <a:avLst/>
        </a:prstGeom>
        <a:noFill/>
        <a:ln w="9525">
          <a:noFill/>
        </a:ln>
      </xdr:spPr>
    </xdr:pic>
  </etc:cellImage>
  <etc:cellImage>
    <xdr:pic>
      <xdr:nvPicPr>
        <xdr:cNvPr id="1010" name="ID_497AAC936DEC4BCA81D6D9386CB165A4"/>
        <xdr:cNvPicPr>
          <a:picLocks noChangeAspect="1"/>
        </xdr:cNvPicPr>
      </xdr:nvPicPr>
      <xdr:blipFill>
        <a:blip r:embed="rId613"/>
        <a:stretch>
          <a:fillRect/>
        </a:stretch>
      </xdr:blipFill>
      <xdr:spPr>
        <a:xfrm>
          <a:off x="14921865" y="42914570"/>
          <a:ext cx="6953250" cy="3067050"/>
        </a:xfrm>
        <a:prstGeom prst="rect">
          <a:avLst/>
        </a:prstGeom>
        <a:noFill/>
        <a:ln w="9525">
          <a:noFill/>
        </a:ln>
      </xdr:spPr>
    </xdr:pic>
  </etc:cellImage>
  <etc:cellImage>
    <xdr:pic>
      <xdr:nvPicPr>
        <xdr:cNvPr id="1011" name="ID_DBD79B15B01F4B749D20EBCC35A7E141"/>
        <xdr:cNvPicPr>
          <a:picLocks noChangeAspect="1"/>
        </xdr:cNvPicPr>
      </xdr:nvPicPr>
      <xdr:blipFill>
        <a:blip r:embed="rId614"/>
        <a:stretch>
          <a:fillRect/>
        </a:stretch>
      </xdr:blipFill>
      <xdr:spPr>
        <a:xfrm>
          <a:off x="14921865" y="43333670"/>
          <a:ext cx="7448550" cy="3067050"/>
        </a:xfrm>
        <a:prstGeom prst="rect">
          <a:avLst/>
        </a:prstGeom>
        <a:noFill/>
        <a:ln w="9525">
          <a:noFill/>
        </a:ln>
      </xdr:spPr>
    </xdr:pic>
  </etc:cellImage>
  <etc:cellImage>
    <xdr:pic>
      <xdr:nvPicPr>
        <xdr:cNvPr id="1012" name="ID_788C886BF01D4B00B3253F77B99C3D99"/>
        <xdr:cNvPicPr>
          <a:picLocks noChangeAspect="1"/>
        </xdr:cNvPicPr>
      </xdr:nvPicPr>
      <xdr:blipFill>
        <a:blip r:embed="rId615"/>
        <a:stretch>
          <a:fillRect/>
        </a:stretch>
      </xdr:blipFill>
      <xdr:spPr>
        <a:xfrm>
          <a:off x="14921865" y="82100420"/>
          <a:ext cx="7962900" cy="1876425"/>
        </a:xfrm>
        <a:prstGeom prst="rect">
          <a:avLst/>
        </a:prstGeom>
        <a:noFill/>
        <a:ln w="9525">
          <a:noFill/>
        </a:ln>
      </xdr:spPr>
    </xdr:pic>
  </etc:cellImage>
  <etc:cellImage>
    <xdr:pic>
      <xdr:nvPicPr>
        <xdr:cNvPr id="1013" name="ID_F72D8ED31FFE4F0586F7E6932DDE7358"/>
        <xdr:cNvPicPr>
          <a:picLocks noChangeAspect="1"/>
        </xdr:cNvPicPr>
      </xdr:nvPicPr>
      <xdr:blipFill>
        <a:blip r:embed="rId616"/>
        <a:stretch>
          <a:fillRect/>
        </a:stretch>
      </xdr:blipFill>
      <xdr:spPr>
        <a:xfrm>
          <a:off x="14921865" y="62821820"/>
          <a:ext cx="7534275" cy="1323975"/>
        </a:xfrm>
        <a:prstGeom prst="rect">
          <a:avLst/>
        </a:prstGeom>
        <a:noFill/>
        <a:ln w="9525">
          <a:noFill/>
        </a:ln>
      </xdr:spPr>
    </xdr:pic>
  </etc:cellImage>
  <etc:cellImage>
    <xdr:pic>
      <xdr:nvPicPr>
        <xdr:cNvPr id="1014" name="ID_7792912F3CB342EC8E26562BEFDAD387"/>
        <xdr:cNvPicPr>
          <a:picLocks noChangeAspect="1"/>
        </xdr:cNvPicPr>
      </xdr:nvPicPr>
      <xdr:blipFill>
        <a:blip r:embed="rId617"/>
        <a:stretch>
          <a:fillRect/>
        </a:stretch>
      </xdr:blipFill>
      <xdr:spPr>
        <a:xfrm>
          <a:off x="14921865" y="43752770"/>
          <a:ext cx="7419975" cy="3076575"/>
        </a:xfrm>
        <a:prstGeom prst="rect">
          <a:avLst/>
        </a:prstGeom>
        <a:noFill/>
        <a:ln w="9525">
          <a:noFill/>
        </a:ln>
      </xdr:spPr>
    </xdr:pic>
  </etc:cellImage>
  <etc:cellImage>
    <xdr:pic>
      <xdr:nvPicPr>
        <xdr:cNvPr id="1015" name="ID_D3CAE950A087428B92D9CD277402DF2C"/>
        <xdr:cNvPicPr>
          <a:picLocks noChangeAspect="1"/>
        </xdr:cNvPicPr>
      </xdr:nvPicPr>
      <xdr:blipFill>
        <a:blip r:embed="rId618"/>
        <a:stretch>
          <a:fillRect/>
        </a:stretch>
      </xdr:blipFill>
      <xdr:spPr>
        <a:xfrm>
          <a:off x="14921865" y="63240920"/>
          <a:ext cx="7477125" cy="3057525"/>
        </a:xfrm>
        <a:prstGeom prst="rect">
          <a:avLst/>
        </a:prstGeom>
        <a:noFill/>
        <a:ln w="9525">
          <a:noFill/>
        </a:ln>
      </xdr:spPr>
    </xdr:pic>
  </etc:cellImage>
  <etc:cellImage>
    <xdr:pic>
      <xdr:nvPicPr>
        <xdr:cNvPr id="1016" name="ID_F136662883214EEB9E0BEC315D108E6C"/>
        <xdr:cNvPicPr>
          <a:picLocks noChangeAspect="1"/>
        </xdr:cNvPicPr>
      </xdr:nvPicPr>
      <xdr:blipFill>
        <a:blip r:embed="rId619"/>
        <a:stretch>
          <a:fillRect/>
        </a:stretch>
      </xdr:blipFill>
      <xdr:spPr>
        <a:xfrm>
          <a:off x="14921865" y="53601620"/>
          <a:ext cx="7543800" cy="3124200"/>
        </a:xfrm>
        <a:prstGeom prst="rect">
          <a:avLst/>
        </a:prstGeom>
        <a:noFill/>
        <a:ln w="9525">
          <a:noFill/>
        </a:ln>
      </xdr:spPr>
    </xdr:pic>
  </etc:cellImage>
  <etc:cellImage>
    <xdr:pic>
      <xdr:nvPicPr>
        <xdr:cNvPr id="1017" name="ID_66010C6139BE48FCA3FA318013E8C80F"/>
        <xdr:cNvPicPr>
          <a:picLocks noChangeAspect="1"/>
        </xdr:cNvPicPr>
      </xdr:nvPicPr>
      <xdr:blipFill>
        <a:blip r:embed="rId620"/>
        <a:stretch>
          <a:fillRect/>
        </a:stretch>
      </xdr:blipFill>
      <xdr:spPr>
        <a:xfrm>
          <a:off x="14921865" y="44171870"/>
          <a:ext cx="7477125" cy="1266825"/>
        </a:xfrm>
        <a:prstGeom prst="rect">
          <a:avLst/>
        </a:prstGeom>
        <a:noFill/>
        <a:ln w="9525">
          <a:noFill/>
        </a:ln>
      </xdr:spPr>
    </xdr:pic>
  </etc:cellImage>
  <etc:cellImage>
    <xdr:pic>
      <xdr:nvPicPr>
        <xdr:cNvPr id="1018" name="ID_AE01477AB0B349988EC39A9606733738"/>
        <xdr:cNvPicPr>
          <a:picLocks noChangeAspect="1"/>
        </xdr:cNvPicPr>
      </xdr:nvPicPr>
      <xdr:blipFill>
        <a:blip r:embed="rId621"/>
        <a:stretch>
          <a:fillRect/>
        </a:stretch>
      </xdr:blipFill>
      <xdr:spPr>
        <a:xfrm>
          <a:off x="14921865" y="54439820"/>
          <a:ext cx="7515225" cy="3019425"/>
        </a:xfrm>
        <a:prstGeom prst="rect">
          <a:avLst/>
        </a:prstGeom>
        <a:noFill/>
        <a:ln w="9525">
          <a:noFill/>
        </a:ln>
      </xdr:spPr>
    </xdr:pic>
  </etc:cellImage>
  <etc:cellImage>
    <xdr:pic>
      <xdr:nvPicPr>
        <xdr:cNvPr id="1019" name="ID_BEEB05A316494647B7CA4D83BD3C43EF"/>
        <xdr:cNvPicPr>
          <a:picLocks noChangeAspect="1"/>
        </xdr:cNvPicPr>
      </xdr:nvPicPr>
      <xdr:blipFill>
        <a:blip r:embed="rId622"/>
        <a:stretch>
          <a:fillRect/>
        </a:stretch>
      </xdr:blipFill>
      <xdr:spPr>
        <a:xfrm>
          <a:off x="14921865" y="45010070"/>
          <a:ext cx="7915275" cy="2981325"/>
        </a:xfrm>
        <a:prstGeom prst="rect">
          <a:avLst/>
        </a:prstGeom>
        <a:noFill/>
        <a:ln w="9525">
          <a:noFill/>
        </a:ln>
      </xdr:spPr>
    </xdr:pic>
  </etc:cellImage>
  <etc:cellImage>
    <xdr:pic>
      <xdr:nvPicPr>
        <xdr:cNvPr id="1020" name="ID_C0A4B31F396943719AD1B76CE8A7035C"/>
        <xdr:cNvPicPr>
          <a:picLocks noChangeAspect="1"/>
        </xdr:cNvPicPr>
      </xdr:nvPicPr>
      <xdr:blipFill>
        <a:blip r:embed="rId623"/>
        <a:stretch>
          <a:fillRect/>
        </a:stretch>
      </xdr:blipFill>
      <xdr:spPr>
        <a:xfrm>
          <a:off x="14921865" y="64498220"/>
          <a:ext cx="7486650" cy="3076575"/>
        </a:xfrm>
        <a:prstGeom prst="rect">
          <a:avLst/>
        </a:prstGeom>
        <a:noFill/>
        <a:ln w="9525">
          <a:noFill/>
        </a:ln>
      </xdr:spPr>
    </xdr:pic>
  </etc:cellImage>
  <etc:cellImage>
    <xdr:pic>
      <xdr:nvPicPr>
        <xdr:cNvPr id="1021" name="ID_BBDCB05EBA0040CEA22AD51A3892BD76"/>
        <xdr:cNvPicPr>
          <a:picLocks noChangeAspect="1"/>
        </xdr:cNvPicPr>
      </xdr:nvPicPr>
      <xdr:blipFill>
        <a:blip r:embed="rId624"/>
        <a:stretch>
          <a:fillRect/>
        </a:stretch>
      </xdr:blipFill>
      <xdr:spPr>
        <a:xfrm>
          <a:off x="14921865" y="45429170"/>
          <a:ext cx="7410450" cy="3048000"/>
        </a:xfrm>
        <a:prstGeom prst="rect">
          <a:avLst/>
        </a:prstGeom>
        <a:noFill/>
        <a:ln w="9525">
          <a:noFill/>
        </a:ln>
      </xdr:spPr>
    </xdr:pic>
  </etc:cellImage>
  <etc:cellImage>
    <xdr:pic>
      <xdr:nvPicPr>
        <xdr:cNvPr id="1022" name="ID_676D40DCE0564ED088482F6AED51E1CD"/>
        <xdr:cNvPicPr>
          <a:picLocks noChangeAspect="1"/>
        </xdr:cNvPicPr>
      </xdr:nvPicPr>
      <xdr:blipFill>
        <a:blip r:embed="rId625"/>
        <a:stretch>
          <a:fillRect/>
        </a:stretch>
      </xdr:blipFill>
      <xdr:spPr>
        <a:xfrm>
          <a:off x="14921865" y="55278020"/>
          <a:ext cx="6962775" cy="3048000"/>
        </a:xfrm>
        <a:prstGeom prst="rect">
          <a:avLst/>
        </a:prstGeom>
        <a:noFill/>
        <a:ln w="9525">
          <a:noFill/>
        </a:ln>
      </xdr:spPr>
    </xdr:pic>
  </etc:cellImage>
  <etc:cellImage>
    <xdr:pic>
      <xdr:nvPicPr>
        <xdr:cNvPr id="1023" name="ID_90992A4B55B8418C9DB03F8C601DBDA3"/>
        <xdr:cNvPicPr>
          <a:picLocks noChangeAspect="1"/>
        </xdr:cNvPicPr>
      </xdr:nvPicPr>
      <xdr:blipFill>
        <a:blip r:embed="rId626"/>
        <a:stretch>
          <a:fillRect/>
        </a:stretch>
      </xdr:blipFill>
      <xdr:spPr>
        <a:xfrm>
          <a:off x="14921865" y="45848270"/>
          <a:ext cx="7429500" cy="3038475"/>
        </a:xfrm>
        <a:prstGeom prst="rect">
          <a:avLst/>
        </a:prstGeom>
        <a:noFill/>
        <a:ln w="9525">
          <a:noFill/>
        </a:ln>
      </xdr:spPr>
    </xdr:pic>
  </etc:cellImage>
  <etc:cellImage>
    <xdr:pic>
      <xdr:nvPicPr>
        <xdr:cNvPr id="1024" name="ID_42B3B7BA50C44683A1DEBFF10AE43E29"/>
        <xdr:cNvPicPr>
          <a:picLocks noChangeAspect="1"/>
        </xdr:cNvPicPr>
      </xdr:nvPicPr>
      <xdr:blipFill>
        <a:blip r:embed="rId627"/>
        <a:stretch>
          <a:fillRect/>
        </a:stretch>
      </xdr:blipFill>
      <xdr:spPr>
        <a:xfrm>
          <a:off x="14921865" y="46267370"/>
          <a:ext cx="7439025" cy="2476500"/>
        </a:xfrm>
        <a:prstGeom prst="rect">
          <a:avLst/>
        </a:prstGeom>
        <a:noFill/>
        <a:ln w="9525">
          <a:noFill/>
        </a:ln>
      </xdr:spPr>
    </xdr:pic>
  </etc:cellImage>
  <etc:cellImage>
    <xdr:pic>
      <xdr:nvPicPr>
        <xdr:cNvPr id="1025" name="ID_5E5AF448E9E84240AFDB77F4C74CFEEF"/>
        <xdr:cNvPicPr>
          <a:picLocks noChangeAspect="1"/>
        </xdr:cNvPicPr>
      </xdr:nvPicPr>
      <xdr:blipFill>
        <a:blip r:embed="rId628"/>
        <a:stretch>
          <a:fillRect/>
        </a:stretch>
      </xdr:blipFill>
      <xdr:spPr>
        <a:xfrm>
          <a:off x="14921865" y="56116220"/>
          <a:ext cx="6981825" cy="3048000"/>
        </a:xfrm>
        <a:prstGeom prst="rect">
          <a:avLst/>
        </a:prstGeom>
        <a:noFill/>
        <a:ln w="9525">
          <a:noFill/>
        </a:ln>
      </xdr:spPr>
    </xdr:pic>
  </etc:cellImage>
  <etc:cellImage>
    <xdr:pic>
      <xdr:nvPicPr>
        <xdr:cNvPr id="1026" name="ID_F60DB18BA82B43959B260C6172A18DED"/>
        <xdr:cNvPicPr>
          <a:picLocks noChangeAspect="1"/>
        </xdr:cNvPicPr>
      </xdr:nvPicPr>
      <xdr:blipFill>
        <a:blip r:embed="rId629"/>
        <a:stretch>
          <a:fillRect/>
        </a:stretch>
      </xdr:blipFill>
      <xdr:spPr>
        <a:xfrm>
          <a:off x="14921865" y="46686470"/>
          <a:ext cx="7458075" cy="3009900"/>
        </a:xfrm>
        <a:prstGeom prst="rect">
          <a:avLst/>
        </a:prstGeom>
        <a:noFill/>
        <a:ln w="9525">
          <a:noFill/>
        </a:ln>
      </xdr:spPr>
    </xdr:pic>
  </etc:cellImage>
  <etc:cellImage>
    <xdr:pic>
      <xdr:nvPicPr>
        <xdr:cNvPr id="1027" name="ID_B105D4175DB948ADA595A69028412C3D"/>
        <xdr:cNvPicPr>
          <a:picLocks noChangeAspect="1"/>
        </xdr:cNvPicPr>
      </xdr:nvPicPr>
      <xdr:blipFill>
        <a:blip r:embed="rId630"/>
        <a:stretch>
          <a:fillRect/>
        </a:stretch>
      </xdr:blipFill>
      <xdr:spPr>
        <a:xfrm>
          <a:off x="14921865" y="47105570"/>
          <a:ext cx="7458075" cy="3086100"/>
        </a:xfrm>
        <a:prstGeom prst="rect">
          <a:avLst/>
        </a:prstGeom>
        <a:noFill/>
        <a:ln w="9525">
          <a:noFill/>
        </a:ln>
      </xdr:spPr>
    </xdr:pic>
  </etc:cellImage>
  <etc:cellImage>
    <xdr:pic>
      <xdr:nvPicPr>
        <xdr:cNvPr id="1028" name="ID_997C620F6C5541E09E6942AB541EBF60"/>
        <xdr:cNvPicPr>
          <a:picLocks noChangeAspect="1"/>
        </xdr:cNvPicPr>
      </xdr:nvPicPr>
      <xdr:blipFill>
        <a:blip r:embed="rId631"/>
        <a:stretch>
          <a:fillRect/>
        </a:stretch>
      </xdr:blipFill>
      <xdr:spPr>
        <a:xfrm>
          <a:off x="14921865" y="47524670"/>
          <a:ext cx="7486650" cy="3076575"/>
        </a:xfrm>
        <a:prstGeom prst="rect">
          <a:avLst/>
        </a:prstGeom>
        <a:noFill/>
        <a:ln w="9525">
          <a:noFill/>
        </a:ln>
      </xdr:spPr>
    </xdr:pic>
  </etc:cellImage>
  <etc:cellImage>
    <xdr:pic>
      <xdr:nvPicPr>
        <xdr:cNvPr id="1029" name="ID_701816C38C5245FBBA772442534D53F7"/>
        <xdr:cNvPicPr>
          <a:picLocks noChangeAspect="1"/>
        </xdr:cNvPicPr>
      </xdr:nvPicPr>
      <xdr:blipFill>
        <a:blip r:embed="rId632"/>
        <a:stretch>
          <a:fillRect/>
        </a:stretch>
      </xdr:blipFill>
      <xdr:spPr>
        <a:xfrm>
          <a:off x="14921865" y="47943770"/>
          <a:ext cx="7534275" cy="2028825"/>
        </a:xfrm>
        <a:prstGeom prst="rect">
          <a:avLst/>
        </a:prstGeom>
        <a:noFill/>
        <a:ln w="9525">
          <a:noFill/>
        </a:ln>
      </xdr:spPr>
    </xdr:pic>
  </etc:cellImage>
  <etc:cellImage>
    <xdr:pic>
      <xdr:nvPicPr>
        <xdr:cNvPr id="1030" name="ID_6F41740307174736989E6BBA16EB9C52"/>
        <xdr:cNvPicPr>
          <a:picLocks noChangeAspect="1"/>
        </xdr:cNvPicPr>
      </xdr:nvPicPr>
      <xdr:blipFill>
        <a:blip r:embed="rId633"/>
        <a:stretch>
          <a:fillRect/>
        </a:stretch>
      </xdr:blipFill>
      <xdr:spPr>
        <a:xfrm>
          <a:off x="14921865" y="57792620"/>
          <a:ext cx="6991350" cy="3067050"/>
        </a:xfrm>
        <a:prstGeom prst="rect">
          <a:avLst/>
        </a:prstGeom>
        <a:noFill/>
        <a:ln w="9525">
          <a:noFill/>
        </a:ln>
      </xdr:spPr>
    </xdr:pic>
  </etc:cellImage>
  <etc:cellImage>
    <xdr:pic>
      <xdr:nvPicPr>
        <xdr:cNvPr id="1031" name="ID_377B5BF5C112494391A9677587BA2CA6"/>
        <xdr:cNvPicPr>
          <a:picLocks noChangeAspect="1"/>
        </xdr:cNvPicPr>
      </xdr:nvPicPr>
      <xdr:blipFill>
        <a:blip r:embed="rId634"/>
        <a:stretch>
          <a:fillRect/>
        </a:stretch>
      </xdr:blipFill>
      <xdr:spPr>
        <a:xfrm>
          <a:off x="14921865" y="48362870"/>
          <a:ext cx="7429500" cy="3028950"/>
        </a:xfrm>
        <a:prstGeom prst="rect">
          <a:avLst/>
        </a:prstGeom>
        <a:noFill/>
        <a:ln w="9525">
          <a:noFill/>
        </a:ln>
      </xdr:spPr>
    </xdr:pic>
  </etc:cellImage>
  <etc:cellImage>
    <xdr:pic>
      <xdr:nvPicPr>
        <xdr:cNvPr id="1032" name="ID_A8C4A6CC55A7403F8156C778F6DD398C"/>
        <xdr:cNvPicPr>
          <a:picLocks noChangeAspect="1"/>
        </xdr:cNvPicPr>
      </xdr:nvPicPr>
      <xdr:blipFill>
        <a:blip r:embed="rId635"/>
        <a:stretch>
          <a:fillRect/>
        </a:stretch>
      </xdr:blipFill>
      <xdr:spPr>
        <a:xfrm>
          <a:off x="14921865" y="49620170"/>
          <a:ext cx="6962775" cy="3009900"/>
        </a:xfrm>
        <a:prstGeom prst="rect">
          <a:avLst/>
        </a:prstGeom>
        <a:noFill/>
        <a:ln w="9525">
          <a:noFill/>
        </a:ln>
      </xdr:spPr>
    </xdr:pic>
  </etc:cellImage>
  <etc:cellImage>
    <xdr:pic>
      <xdr:nvPicPr>
        <xdr:cNvPr id="1033" name="ID_E844F55FCCEF4A30A40D8786A0312C12"/>
        <xdr:cNvPicPr>
          <a:picLocks noChangeAspect="1"/>
        </xdr:cNvPicPr>
      </xdr:nvPicPr>
      <xdr:blipFill>
        <a:blip r:embed="rId636"/>
        <a:stretch>
          <a:fillRect/>
        </a:stretch>
      </xdr:blipFill>
      <xdr:spPr>
        <a:xfrm>
          <a:off x="14921865" y="50039270"/>
          <a:ext cx="6972300" cy="1428750"/>
        </a:xfrm>
        <a:prstGeom prst="rect">
          <a:avLst/>
        </a:prstGeom>
        <a:noFill/>
        <a:ln w="9525">
          <a:noFill/>
        </a:ln>
      </xdr:spPr>
    </xdr:pic>
  </etc:cellImage>
  <etc:cellImage>
    <xdr:pic>
      <xdr:nvPicPr>
        <xdr:cNvPr id="1034" name="ID_A24FC4002DEB47B0B3914CF713C57205"/>
        <xdr:cNvPicPr>
          <a:picLocks noChangeAspect="1"/>
        </xdr:cNvPicPr>
      </xdr:nvPicPr>
      <xdr:blipFill>
        <a:blip r:embed="rId637"/>
        <a:stretch>
          <a:fillRect/>
        </a:stretch>
      </xdr:blipFill>
      <xdr:spPr>
        <a:xfrm>
          <a:off x="14921865" y="69527420"/>
          <a:ext cx="6981825" cy="3076575"/>
        </a:xfrm>
        <a:prstGeom prst="rect">
          <a:avLst/>
        </a:prstGeom>
        <a:noFill/>
        <a:ln w="9525">
          <a:noFill/>
        </a:ln>
      </xdr:spPr>
    </xdr:pic>
  </etc:cellImage>
  <etc:cellImage>
    <xdr:pic>
      <xdr:nvPicPr>
        <xdr:cNvPr id="1035" name="ID_5042350166344434B007E346DC91E2C6"/>
        <xdr:cNvPicPr>
          <a:picLocks noChangeAspect="1"/>
        </xdr:cNvPicPr>
      </xdr:nvPicPr>
      <xdr:blipFill>
        <a:blip r:embed="rId638"/>
        <a:stretch>
          <a:fillRect/>
        </a:stretch>
      </xdr:blipFill>
      <xdr:spPr>
        <a:xfrm>
          <a:off x="14921865" y="50458370"/>
          <a:ext cx="7419975" cy="3038475"/>
        </a:xfrm>
        <a:prstGeom prst="rect">
          <a:avLst/>
        </a:prstGeom>
        <a:noFill/>
        <a:ln w="9525">
          <a:noFill/>
        </a:ln>
      </xdr:spPr>
    </xdr:pic>
  </etc:cellImage>
  <etc:cellImage>
    <xdr:pic>
      <xdr:nvPicPr>
        <xdr:cNvPr id="1036" name="ID_6F8D3AB9F34E4551BF1AF5E17C479B09"/>
        <xdr:cNvPicPr>
          <a:picLocks noChangeAspect="1"/>
        </xdr:cNvPicPr>
      </xdr:nvPicPr>
      <xdr:blipFill>
        <a:blip r:embed="rId639"/>
        <a:stretch>
          <a:fillRect/>
        </a:stretch>
      </xdr:blipFill>
      <xdr:spPr>
        <a:xfrm>
          <a:off x="14921865" y="69946520"/>
          <a:ext cx="6981825" cy="3076575"/>
        </a:xfrm>
        <a:prstGeom prst="rect">
          <a:avLst/>
        </a:prstGeom>
        <a:noFill/>
        <a:ln w="9525">
          <a:noFill/>
        </a:ln>
      </xdr:spPr>
    </xdr:pic>
  </etc:cellImage>
  <etc:cellImage>
    <xdr:pic>
      <xdr:nvPicPr>
        <xdr:cNvPr id="1037" name="ID_0822BA47C51C4045934938832D953652"/>
        <xdr:cNvPicPr>
          <a:picLocks noChangeAspect="1"/>
        </xdr:cNvPicPr>
      </xdr:nvPicPr>
      <xdr:blipFill>
        <a:blip r:embed="rId640"/>
        <a:stretch>
          <a:fillRect/>
        </a:stretch>
      </xdr:blipFill>
      <xdr:spPr>
        <a:xfrm>
          <a:off x="14921865" y="50877470"/>
          <a:ext cx="7486650" cy="2314575"/>
        </a:xfrm>
        <a:prstGeom prst="rect">
          <a:avLst/>
        </a:prstGeom>
        <a:noFill/>
        <a:ln w="9525">
          <a:noFill/>
        </a:ln>
      </xdr:spPr>
    </xdr:pic>
  </etc:cellImage>
  <etc:cellImage>
    <xdr:pic>
      <xdr:nvPicPr>
        <xdr:cNvPr id="1038" name="ID_F010160E49C741E992E09A9A7C835FCD"/>
        <xdr:cNvPicPr>
          <a:picLocks noChangeAspect="1"/>
        </xdr:cNvPicPr>
      </xdr:nvPicPr>
      <xdr:blipFill>
        <a:blip r:embed="rId641"/>
        <a:stretch>
          <a:fillRect/>
        </a:stretch>
      </xdr:blipFill>
      <xdr:spPr>
        <a:xfrm>
          <a:off x="14921865" y="51715670"/>
          <a:ext cx="7429500" cy="3019425"/>
        </a:xfrm>
        <a:prstGeom prst="rect">
          <a:avLst/>
        </a:prstGeom>
        <a:noFill/>
        <a:ln w="9525">
          <a:noFill/>
        </a:ln>
      </xdr:spPr>
    </xdr:pic>
  </etc:cellImage>
  <etc:cellImage>
    <xdr:pic>
      <xdr:nvPicPr>
        <xdr:cNvPr id="1039" name="ID_4B00AED0DF8247F0A678F66868693601"/>
        <xdr:cNvPicPr>
          <a:picLocks noChangeAspect="1"/>
        </xdr:cNvPicPr>
      </xdr:nvPicPr>
      <xdr:blipFill>
        <a:blip r:embed="rId642"/>
        <a:stretch>
          <a:fillRect/>
        </a:stretch>
      </xdr:blipFill>
      <xdr:spPr>
        <a:xfrm>
          <a:off x="14921865" y="52344320"/>
          <a:ext cx="7458075" cy="1504950"/>
        </a:xfrm>
        <a:prstGeom prst="rect">
          <a:avLst/>
        </a:prstGeom>
        <a:noFill/>
        <a:ln w="9525">
          <a:noFill/>
        </a:ln>
      </xdr:spPr>
    </xdr:pic>
  </etc:cellImage>
  <etc:cellImage>
    <xdr:pic>
      <xdr:nvPicPr>
        <xdr:cNvPr id="1040" name="ID_C73F2BCB8D1041F1A202BAE1A60AD684"/>
        <xdr:cNvPicPr>
          <a:picLocks noChangeAspect="1"/>
        </xdr:cNvPicPr>
      </xdr:nvPicPr>
      <xdr:blipFill>
        <a:blip r:embed="rId643"/>
        <a:stretch>
          <a:fillRect/>
        </a:stretch>
      </xdr:blipFill>
      <xdr:spPr>
        <a:xfrm>
          <a:off x="14921865" y="81681320"/>
          <a:ext cx="8020050" cy="1952625"/>
        </a:xfrm>
        <a:prstGeom prst="rect">
          <a:avLst/>
        </a:prstGeom>
        <a:noFill/>
        <a:ln w="9525">
          <a:noFill/>
        </a:ln>
      </xdr:spPr>
    </xdr:pic>
  </etc:cellImage>
  <etc:cellImage>
    <xdr:pic>
      <xdr:nvPicPr>
        <xdr:cNvPr id="1041" name="ID_4BBC6EE3B15745B9B44ED00C7CE04302"/>
        <xdr:cNvPicPr>
          <a:picLocks noChangeAspect="1"/>
        </xdr:cNvPicPr>
      </xdr:nvPicPr>
      <xdr:blipFill>
        <a:blip r:embed="rId644"/>
        <a:stretch>
          <a:fillRect/>
        </a:stretch>
      </xdr:blipFill>
      <xdr:spPr>
        <a:xfrm>
          <a:off x="14921865" y="52763420"/>
          <a:ext cx="9553575" cy="5419725"/>
        </a:xfrm>
        <a:prstGeom prst="rect">
          <a:avLst/>
        </a:prstGeom>
        <a:noFill/>
        <a:ln w="9525">
          <a:noFill/>
        </a:ln>
      </xdr:spPr>
    </xdr:pic>
  </etc:cellImage>
  <etc:cellImage>
    <xdr:pic>
      <xdr:nvPicPr>
        <xdr:cNvPr id="1042" name="ID_55614466C34149A1A09B09179E8BCA7B"/>
        <xdr:cNvPicPr>
          <a:picLocks noChangeAspect="1"/>
        </xdr:cNvPicPr>
      </xdr:nvPicPr>
      <xdr:blipFill>
        <a:blip r:embed="rId645"/>
        <a:stretch>
          <a:fillRect/>
        </a:stretch>
      </xdr:blipFill>
      <xdr:spPr>
        <a:xfrm>
          <a:off x="14921865" y="53182520"/>
          <a:ext cx="7486650" cy="3076575"/>
        </a:xfrm>
        <a:prstGeom prst="rect">
          <a:avLst/>
        </a:prstGeom>
        <a:noFill/>
        <a:ln w="9525">
          <a:noFill/>
        </a:ln>
      </xdr:spPr>
    </xdr:pic>
  </etc:cellImage>
  <etc:cellImage>
    <xdr:pic>
      <xdr:nvPicPr>
        <xdr:cNvPr id="1043" name="ID_A18128851B07499ABFF13ADA13F88B22"/>
        <xdr:cNvPicPr>
          <a:picLocks noChangeAspect="1"/>
        </xdr:cNvPicPr>
      </xdr:nvPicPr>
      <xdr:blipFill>
        <a:blip r:embed="rId646"/>
        <a:stretch>
          <a:fillRect/>
        </a:stretch>
      </xdr:blipFill>
      <xdr:spPr>
        <a:xfrm>
          <a:off x="14921865" y="54020720"/>
          <a:ext cx="7429500" cy="3057525"/>
        </a:xfrm>
        <a:prstGeom prst="rect">
          <a:avLst/>
        </a:prstGeom>
        <a:noFill/>
        <a:ln w="9525">
          <a:noFill/>
        </a:ln>
      </xdr:spPr>
    </xdr:pic>
  </etc:cellImage>
  <etc:cellImage>
    <xdr:pic>
      <xdr:nvPicPr>
        <xdr:cNvPr id="1044" name="ID_A46E7AA05B0D4E9C87C170985952BC24"/>
        <xdr:cNvPicPr>
          <a:picLocks noChangeAspect="1"/>
        </xdr:cNvPicPr>
      </xdr:nvPicPr>
      <xdr:blipFill>
        <a:blip r:embed="rId647"/>
        <a:stretch>
          <a:fillRect/>
        </a:stretch>
      </xdr:blipFill>
      <xdr:spPr>
        <a:xfrm>
          <a:off x="14921865" y="54858920"/>
          <a:ext cx="7543800" cy="1104900"/>
        </a:xfrm>
        <a:prstGeom prst="rect">
          <a:avLst/>
        </a:prstGeom>
        <a:noFill/>
        <a:ln w="9525">
          <a:noFill/>
        </a:ln>
      </xdr:spPr>
    </xdr:pic>
  </etc:cellImage>
  <etc:cellImage>
    <xdr:pic>
      <xdr:nvPicPr>
        <xdr:cNvPr id="1045" name="ID_87060883A1B2403BAE7B342F1F3C114E"/>
        <xdr:cNvPicPr>
          <a:picLocks noChangeAspect="1"/>
        </xdr:cNvPicPr>
      </xdr:nvPicPr>
      <xdr:blipFill>
        <a:blip r:embed="rId648"/>
        <a:stretch>
          <a:fillRect/>
        </a:stretch>
      </xdr:blipFill>
      <xdr:spPr>
        <a:xfrm>
          <a:off x="14921865" y="74975720"/>
          <a:ext cx="6991350" cy="3086100"/>
        </a:xfrm>
        <a:prstGeom prst="rect">
          <a:avLst/>
        </a:prstGeom>
        <a:noFill/>
        <a:ln w="9525">
          <a:noFill/>
        </a:ln>
      </xdr:spPr>
    </xdr:pic>
  </etc:cellImage>
  <etc:cellImage>
    <xdr:pic>
      <xdr:nvPicPr>
        <xdr:cNvPr id="1046" name="ID_4EB19293A178460198A2981E2F750FED"/>
        <xdr:cNvPicPr>
          <a:picLocks noChangeAspect="1"/>
        </xdr:cNvPicPr>
      </xdr:nvPicPr>
      <xdr:blipFill>
        <a:blip r:embed="rId649"/>
        <a:stretch>
          <a:fillRect/>
        </a:stretch>
      </xdr:blipFill>
      <xdr:spPr>
        <a:xfrm>
          <a:off x="14921865" y="55697120"/>
          <a:ext cx="7010400" cy="3095625"/>
        </a:xfrm>
        <a:prstGeom prst="rect">
          <a:avLst/>
        </a:prstGeom>
        <a:noFill/>
        <a:ln w="9525">
          <a:noFill/>
        </a:ln>
      </xdr:spPr>
    </xdr:pic>
  </etc:cellImage>
  <etc:cellImage>
    <xdr:pic>
      <xdr:nvPicPr>
        <xdr:cNvPr id="1047" name="ID_4A5D1AF109064CB29217A9501924C719"/>
        <xdr:cNvPicPr>
          <a:picLocks noChangeAspect="1"/>
        </xdr:cNvPicPr>
      </xdr:nvPicPr>
      <xdr:blipFill>
        <a:blip r:embed="rId650"/>
        <a:stretch>
          <a:fillRect/>
        </a:stretch>
      </xdr:blipFill>
      <xdr:spPr>
        <a:xfrm>
          <a:off x="14921865" y="56535320"/>
          <a:ext cx="7000875" cy="3124200"/>
        </a:xfrm>
        <a:prstGeom prst="rect">
          <a:avLst/>
        </a:prstGeom>
        <a:noFill/>
        <a:ln w="9525">
          <a:noFill/>
        </a:ln>
      </xdr:spPr>
    </xdr:pic>
  </etc:cellImage>
  <etc:cellImage>
    <xdr:pic>
      <xdr:nvPicPr>
        <xdr:cNvPr id="1048" name="ID_4CDDF1CA47944F01BD75B70B0E47ED8A"/>
        <xdr:cNvPicPr>
          <a:picLocks noChangeAspect="1"/>
        </xdr:cNvPicPr>
      </xdr:nvPicPr>
      <xdr:blipFill>
        <a:blip r:embed="rId651"/>
        <a:stretch>
          <a:fillRect/>
        </a:stretch>
      </xdr:blipFill>
      <xdr:spPr>
        <a:xfrm>
          <a:off x="14921865" y="76233020"/>
          <a:ext cx="7467600" cy="3133725"/>
        </a:xfrm>
        <a:prstGeom prst="rect">
          <a:avLst/>
        </a:prstGeom>
        <a:noFill/>
        <a:ln w="9525">
          <a:noFill/>
        </a:ln>
      </xdr:spPr>
    </xdr:pic>
  </etc:cellImage>
  <etc:cellImage>
    <xdr:pic>
      <xdr:nvPicPr>
        <xdr:cNvPr id="1049" name="ID_A1E4BF7ED5044A85A4C597D77A1CF112"/>
        <xdr:cNvPicPr>
          <a:picLocks noChangeAspect="1"/>
        </xdr:cNvPicPr>
      </xdr:nvPicPr>
      <xdr:blipFill>
        <a:blip r:embed="rId652"/>
        <a:stretch>
          <a:fillRect/>
        </a:stretch>
      </xdr:blipFill>
      <xdr:spPr>
        <a:xfrm>
          <a:off x="14921865" y="66593720"/>
          <a:ext cx="7467600" cy="3019425"/>
        </a:xfrm>
        <a:prstGeom prst="rect">
          <a:avLst/>
        </a:prstGeom>
        <a:noFill/>
        <a:ln w="9525">
          <a:noFill/>
        </a:ln>
      </xdr:spPr>
    </xdr:pic>
  </etc:cellImage>
  <etc:cellImage>
    <xdr:pic>
      <xdr:nvPicPr>
        <xdr:cNvPr id="1050" name="ID_2655E751EEA94C49985DB5E482D8ED5E"/>
        <xdr:cNvPicPr>
          <a:picLocks noChangeAspect="1"/>
        </xdr:cNvPicPr>
      </xdr:nvPicPr>
      <xdr:blipFill>
        <a:blip r:embed="rId653"/>
        <a:stretch>
          <a:fillRect/>
        </a:stretch>
      </xdr:blipFill>
      <xdr:spPr>
        <a:xfrm>
          <a:off x="14921865" y="56954420"/>
          <a:ext cx="7038975" cy="3114675"/>
        </a:xfrm>
        <a:prstGeom prst="rect">
          <a:avLst/>
        </a:prstGeom>
        <a:noFill/>
        <a:ln w="9525">
          <a:noFill/>
        </a:ln>
      </xdr:spPr>
    </xdr:pic>
  </etc:cellImage>
  <etc:cellImage>
    <xdr:pic>
      <xdr:nvPicPr>
        <xdr:cNvPr id="1051" name="ID_FC8A2E7537CA48C291F445D98E2830B9"/>
        <xdr:cNvPicPr>
          <a:picLocks noChangeAspect="1"/>
        </xdr:cNvPicPr>
      </xdr:nvPicPr>
      <xdr:blipFill>
        <a:blip r:embed="rId654"/>
        <a:stretch>
          <a:fillRect/>
        </a:stretch>
      </xdr:blipFill>
      <xdr:spPr>
        <a:xfrm>
          <a:off x="14921865" y="76652120"/>
          <a:ext cx="7458075" cy="3095625"/>
        </a:xfrm>
        <a:prstGeom prst="rect">
          <a:avLst/>
        </a:prstGeom>
        <a:noFill/>
        <a:ln w="9525">
          <a:noFill/>
        </a:ln>
      </xdr:spPr>
    </xdr:pic>
  </etc:cellImage>
  <etc:cellImage>
    <xdr:pic>
      <xdr:nvPicPr>
        <xdr:cNvPr id="1052" name="ID_712FE2215FEA483CB3F49C7332CD04F7"/>
        <xdr:cNvPicPr>
          <a:picLocks noChangeAspect="1"/>
        </xdr:cNvPicPr>
      </xdr:nvPicPr>
      <xdr:blipFill>
        <a:blip r:embed="rId655"/>
        <a:stretch>
          <a:fillRect/>
        </a:stretch>
      </xdr:blipFill>
      <xdr:spPr>
        <a:xfrm>
          <a:off x="14921865" y="57373520"/>
          <a:ext cx="7038975" cy="1133475"/>
        </a:xfrm>
        <a:prstGeom prst="rect">
          <a:avLst/>
        </a:prstGeom>
        <a:noFill/>
        <a:ln w="9525">
          <a:noFill/>
        </a:ln>
      </xdr:spPr>
    </xdr:pic>
  </etc:cellImage>
  <etc:cellImage>
    <xdr:pic>
      <xdr:nvPicPr>
        <xdr:cNvPr id="1053" name="ID_F8EBD87318C143828176EF3844B5E54C"/>
        <xdr:cNvPicPr>
          <a:picLocks noChangeAspect="1"/>
        </xdr:cNvPicPr>
      </xdr:nvPicPr>
      <xdr:blipFill>
        <a:blip r:embed="rId656"/>
        <a:stretch>
          <a:fillRect/>
        </a:stretch>
      </xdr:blipFill>
      <xdr:spPr>
        <a:xfrm>
          <a:off x="14921865" y="58211720"/>
          <a:ext cx="7000875" cy="4333875"/>
        </a:xfrm>
        <a:prstGeom prst="rect">
          <a:avLst/>
        </a:prstGeom>
        <a:noFill/>
        <a:ln w="9525">
          <a:noFill/>
        </a:ln>
      </xdr:spPr>
    </xdr:pic>
  </etc:cellImage>
  <etc:cellImage>
    <xdr:pic>
      <xdr:nvPicPr>
        <xdr:cNvPr id="1054" name="ID_41EA253B27604154A7926E378A2B5B3F"/>
        <xdr:cNvPicPr>
          <a:picLocks noChangeAspect="1"/>
        </xdr:cNvPicPr>
      </xdr:nvPicPr>
      <xdr:blipFill>
        <a:blip r:embed="rId657"/>
        <a:stretch>
          <a:fillRect/>
        </a:stretch>
      </xdr:blipFill>
      <xdr:spPr>
        <a:xfrm>
          <a:off x="14921865" y="59049920"/>
          <a:ext cx="6972300" cy="3105150"/>
        </a:xfrm>
        <a:prstGeom prst="rect">
          <a:avLst/>
        </a:prstGeom>
        <a:noFill/>
        <a:ln w="9525">
          <a:noFill/>
        </a:ln>
      </xdr:spPr>
    </xdr:pic>
  </etc:cellImage>
  <etc:cellImage>
    <xdr:pic>
      <xdr:nvPicPr>
        <xdr:cNvPr id="1055" name="ID_C5036CAB6D0F4EDEA928193378A4368C"/>
        <xdr:cNvPicPr>
          <a:picLocks noChangeAspect="1"/>
        </xdr:cNvPicPr>
      </xdr:nvPicPr>
      <xdr:blipFill>
        <a:blip r:embed="rId658"/>
        <a:stretch>
          <a:fillRect/>
        </a:stretch>
      </xdr:blipFill>
      <xdr:spPr>
        <a:xfrm>
          <a:off x="14921865" y="59469020"/>
          <a:ext cx="6981825" cy="3086100"/>
        </a:xfrm>
        <a:prstGeom prst="rect">
          <a:avLst/>
        </a:prstGeom>
        <a:noFill/>
        <a:ln w="9525">
          <a:noFill/>
        </a:ln>
      </xdr:spPr>
    </xdr:pic>
  </etc:cellImage>
  <etc:cellImage>
    <xdr:pic>
      <xdr:nvPicPr>
        <xdr:cNvPr id="1056" name="ID_038A411F19734527B65F3DDABA5EF9B0"/>
        <xdr:cNvPicPr>
          <a:picLocks noChangeAspect="1"/>
        </xdr:cNvPicPr>
      </xdr:nvPicPr>
      <xdr:blipFill>
        <a:blip r:embed="rId659"/>
        <a:stretch>
          <a:fillRect/>
        </a:stretch>
      </xdr:blipFill>
      <xdr:spPr>
        <a:xfrm>
          <a:off x="14921865" y="59888120"/>
          <a:ext cx="7010400" cy="3067050"/>
        </a:xfrm>
        <a:prstGeom prst="rect">
          <a:avLst/>
        </a:prstGeom>
        <a:noFill/>
        <a:ln w="9525">
          <a:noFill/>
        </a:ln>
      </xdr:spPr>
    </xdr:pic>
  </etc:cellImage>
  <etc:cellImage>
    <xdr:pic>
      <xdr:nvPicPr>
        <xdr:cNvPr id="1057" name="ID_765761D82DF14402AAABC0659C7BE1DD"/>
        <xdr:cNvPicPr>
          <a:picLocks noChangeAspect="1"/>
        </xdr:cNvPicPr>
      </xdr:nvPicPr>
      <xdr:blipFill>
        <a:blip r:embed="rId660"/>
        <a:stretch>
          <a:fillRect/>
        </a:stretch>
      </xdr:blipFill>
      <xdr:spPr>
        <a:xfrm>
          <a:off x="14921865" y="60307220"/>
          <a:ext cx="7038975" cy="1066800"/>
        </a:xfrm>
        <a:prstGeom prst="rect">
          <a:avLst/>
        </a:prstGeom>
        <a:noFill/>
        <a:ln w="9525">
          <a:noFill/>
        </a:ln>
      </xdr:spPr>
    </xdr:pic>
  </etc:cellImage>
  <etc:cellImage>
    <xdr:pic>
      <xdr:nvPicPr>
        <xdr:cNvPr id="1058" name="ID_826F82EB736D479BA8AF39BE8FF1ED89"/>
        <xdr:cNvPicPr>
          <a:picLocks noChangeAspect="1"/>
        </xdr:cNvPicPr>
      </xdr:nvPicPr>
      <xdr:blipFill>
        <a:blip r:embed="rId661"/>
        <a:stretch>
          <a:fillRect/>
        </a:stretch>
      </xdr:blipFill>
      <xdr:spPr>
        <a:xfrm>
          <a:off x="14921865" y="60726320"/>
          <a:ext cx="8039100" cy="3171825"/>
        </a:xfrm>
        <a:prstGeom prst="rect">
          <a:avLst/>
        </a:prstGeom>
        <a:noFill/>
        <a:ln w="9525">
          <a:noFill/>
        </a:ln>
      </xdr:spPr>
    </xdr:pic>
  </etc:cellImage>
  <etc:cellImage>
    <xdr:pic>
      <xdr:nvPicPr>
        <xdr:cNvPr id="1059" name="ID_B9460A107FAB4CBEB85CDD24824C4C35"/>
        <xdr:cNvPicPr>
          <a:picLocks noChangeAspect="1"/>
        </xdr:cNvPicPr>
      </xdr:nvPicPr>
      <xdr:blipFill>
        <a:blip r:embed="rId662"/>
        <a:stretch>
          <a:fillRect/>
        </a:stretch>
      </xdr:blipFill>
      <xdr:spPr>
        <a:xfrm>
          <a:off x="14921865" y="61145420"/>
          <a:ext cx="8039100" cy="3114675"/>
        </a:xfrm>
        <a:prstGeom prst="rect">
          <a:avLst/>
        </a:prstGeom>
        <a:noFill/>
        <a:ln w="9525">
          <a:noFill/>
        </a:ln>
      </xdr:spPr>
    </xdr:pic>
  </etc:cellImage>
  <etc:cellImage>
    <xdr:pic>
      <xdr:nvPicPr>
        <xdr:cNvPr id="1060" name="ID_E5C70D8182054D24AAC49164ED34A531"/>
        <xdr:cNvPicPr>
          <a:picLocks noChangeAspect="1"/>
        </xdr:cNvPicPr>
      </xdr:nvPicPr>
      <xdr:blipFill>
        <a:blip r:embed="rId663"/>
        <a:stretch>
          <a:fillRect/>
        </a:stretch>
      </xdr:blipFill>
      <xdr:spPr>
        <a:xfrm>
          <a:off x="14921865" y="61983620"/>
          <a:ext cx="7448550" cy="3048000"/>
        </a:xfrm>
        <a:prstGeom prst="rect">
          <a:avLst/>
        </a:prstGeom>
        <a:noFill/>
        <a:ln w="9525">
          <a:noFill/>
        </a:ln>
      </xdr:spPr>
    </xdr:pic>
  </etc:cellImage>
  <etc:cellImage>
    <xdr:pic>
      <xdr:nvPicPr>
        <xdr:cNvPr id="1061" name="ID_710DD672756840DFA04CD8518CD76118"/>
        <xdr:cNvPicPr>
          <a:picLocks noChangeAspect="1"/>
        </xdr:cNvPicPr>
      </xdr:nvPicPr>
      <xdr:blipFill>
        <a:blip r:embed="rId664"/>
        <a:stretch>
          <a:fillRect/>
        </a:stretch>
      </xdr:blipFill>
      <xdr:spPr>
        <a:xfrm>
          <a:off x="14921865" y="72042020"/>
          <a:ext cx="7467600" cy="3048000"/>
        </a:xfrm>
        <a:prstGeom prst="rect">
          <a:avLst/>
        </a:prstGeom>
        <a:noFill/>
        <a:ln w="9525">
          <a:noFill/>
        </a:ln>
      </xdr:spPr>
    </xdr:pic>
  </etc:cellImage>
  <etc:cellImage>
    <xdr:pic>
      <xdr:nvPicPr>
        <xdr:cNvPr id="1062" name="ID_EC649A31834A4240B5A330D27C0A60E0"/>
        <xdr:cNvPicPr>
          <a:picLocks noChangeAspect="1"/>
        </xdr:cNvPicPr>
      </xdr:nvPicPr>
      <xdr:blipFill>
        <a:blip r:embed="rId665"/>
        <a:stretch>
          <a:fillRect/>
        </a:stretch>
      </xdr:blipFill>
      <xdr:spPr>
        <a:xfrm>
          <a:off x="14921865" y="62402720"/>
          <a:ext cx="7524750" cy="3133725"/>
        </a:xfrm>
        <a:prstGeom prst="rect">
          <a:avLst/>
        </a:prstGeom>
        <a:noFill/>
        <a:ln w="9525">
          <a:noFill/>
        </a:ln>
      </xdr:spPr>
    </xdr:pic>
  </etc:cellImage>
  <etc:cellImage>
    <xdr:pic>
      <xdr:nvPicPr>
        <xdr:cNvPr id="1063" name="ID_9252EAFEFB1D40BFB0D950B1C8225D74"/>
        <xdr:cNvPicPr>
          <a:picLocks noChangeAspect="1"/>
        </xdr:cNvPicPr>
      </xdr:nvPicPr>
      <xdr:blipFill>
        <a:blip r:embed="rId666"/>
        <a:stretch>
          <a:fillRect/>
        </a:stretch>
      </xdr:blipFill>
      <xdr:spPr>
        <a:xfrm>
          <a:off x="14921865" y="63660020"/>
          <a:ext cx="7553325" cy="1276350"/>
        </a:xfrm>
        <a:prstGeom prst="rect">
          <a:avLst/>
        </a:prstGeom>
        <a:noFill/>
        <a:ln w="9525">
          <a:noFill/>
        </a:ln>
      </xdr:spPr>
    </xdr:pic>
  </etc:cellImage>
  <etc:cellImage>
    <xdr:pic>
      <xdr:nvPicPr>
        <xdr:cNvPr id="1064" name="ID_FBBA63517EC146E89BC998CAF4923B22"/>
        <xdr:cNvPicPr>
          <a:picLocks noChangeAspect="1"/>
        </xdr:cNvPicPr>
      </xdr:nvPicPr>
      <xdr:blipFill>
        <a:blip r:embed="rId667"/>
        <a:stretch>
          <a:fillRect/>
        </a:stretch>
      </xdr:blipFill>
      <xdr:spPr>
        <a:xfrm>
          <a:off x="14921865" y="73718420"/>
          <a:ext cx="7000875" cy="3038475"/>
        </a:xfrm>
        <a:prstGeom prst="rect">
          <a:avLst/>
        </a:prstGeom>
        <a:noFill/>
        <a:ln w="9525">
          <a:noFill/>
        </a:ln>
      </xdr:spPr>
    </xdr:pic>
  </etc:cellImage>
  <etc:cellImage>
    <xdr:pic>
      <xdr:nvPicPr>
        <xdr:cNvPr id="1065" name="ID_6A72BBB8139045B39533F990D221331A"/>
        <xdr:cNvPicPr>
          <a:picLocks noChangeAspect="1"/>
        </xdr:cNvPicPr>
      </xdr:nvPicPr>
      <xdr:blipFill>
        <a:blip r:embed="rId668"/>
        <a:stretch>
          <a:fillRect/>
        </a:stretch>
      </xdr:blipFill>
      <xdr:spPr>
        <a:xfrm>
          <a:off x="14921865" y="64079120"/>
          <a:ext cx="8039100" cy="3124200"/>
        </a:xfrm>
        <a:prstGeom prst="rect">
          <a:avLst/>
        </a:prstGeom>
        <a:noFill/>
        <a:ln w="9525">
          <a:noFill/>
        </a:ln>
      </xdr:spPr>
    </xdr:pic>
  </etc:cellImage>
  <etc:cellImage>
    <xdr:pic>
      <xdr:nvPicPr>
        <xdr:cNvPr id="1066" name="ID_3185D9A771FE46DCBCA42EE9563F7C22"/>
        <xdr:cNvPicPr>
          <a:picLocks noChangeAspect="1"/>
        </xdr:cNvPicPr>
      </xdr:nvPicPr>
      <xdr:blipFill>
        <a:blip r:embed="rId669"/>
        <a:stretch>
          <a:fillRect/>
        </a:stretch>
      </xdr:blipFill>
      <xdr:spPr>
        <a:xfrm>
          <a:off x="14921865" y="74556620"/>
          <a:ext cx="7038975" cy="3067050"/>
        </a:xfrm>
        <a:prstGeom prst="rect">
          <a:avLst/>
        </a:prstGeom>
        <a:noFill/>
        <a:ln w="9525">
          <a:noFill/>
        </a:ln>
      </xdr:spPr>
    </xdr:pic>
  </etc:cellImage>
  <etc:cellImage>
    <xdr:pic>
      <xdr:nvPicPr>
        <xdr:cNvPr id="1067" name="ID_905C0933314B45CDBF7D1E6B80C76BA3"/>
        <xdr:cNvPicPr>
          <a:picLocks noChangeAspect="1"/>
        </xdr:cNvPicPr>
      </xdr:nvPicPr>
      <xdr:blipFill>
        <a:blip r:embed="rId670"/>
        <a:stretch>
          <a:fillRect/>
        </a:stretch>
      </xdr:blipFill>
      <xdr:spPr>
        <a:xfrm>
          <a:off x="14921865" y="64917320"/>
          <a:ext cx="7505700" cy="3114675"/>
        </a:xfrm>
        <a:prstGeom prst="rect">
          <a:avLst/>
        </a:prstGeom>
        <a:noFill/>
        <a:ln w="9525">
          <a:noFill/>
        </a:ln>
      </xdr:spPr>
    </xdr:pic>
  </etc:cellImage>
  <etc:cellImage>
    <xdr:pic>
      <xdr:nvPicPr>
        <xdr:cNvPr id="1068" name="ID_0B839F6382F54540B45A89CFA45EAD32"/>
        <xdr:cNvPicPr>
          <a:picLocks noChangeAspect="1"/>
        </xdr:cNvPicPr>
      </xdr:nvPicPr>
      <xdr:blipFill>
        <a:blip r:embed="rId671"/>
        <a:stretch>
          <a:fillRect/>
        </a:stretch>
      </xdr:blipFill>
      <xdr:spPr>
        <a:xfrm>
          <a:off x="14921865" y="65336420"/>
          <a:ext cx="7467600" cy="3057525"/>
        </a:xfrm>
        <a:prstGeom prst="rect">
          <a:avLst/>
        </a:prstGeom>
        <a:noFill/>
        <a:ln w="9525">
          <a:noFill/>
        </a:ln>
      </xdr:spPr>
    </xdr:pic>
  </etc:cellImage>
  <etc:cellImage>
    <xdr:pic>
      <xdr:nvPicPr>
        <xdr:cNvPr id="1069" name="ID_76CAA733D44E4C059DA85B4F83A2546F"/>
        <xdr:cNvPicPr>
          <a:picLocks noChangeAspect="1"/>
        </xdr:cNvPicPr>
      </xdr:nvPicPr>
      <xdr:blipFill>
        <a:blip r:embed="rId672"/>
        <a:stretch>
          <a:fillRect/>
        </a:stretch>
      </xdr:blipFill>
      <xdr:spPr>
        <a:xfrm>
          <a:off x="14921865" y="75394820"/>
          <a:ext cx="7019925" cy="3000375"/>
        </a:xfrm>
        <a:prstGeom prst="rect">
          <a:avLst/>
        </a:prstGeom>
        <a:noFill/>
        <a:ln w="9525">
          <a:noFill/>
        </a:ln>
      </xdr:spPr>
    </xdr:pic>
  </etc:cellImage>
  <etc:cellImage>
    <xdr:pic>
      <xdr:nvPicPr>
        <xdr:cNvPr id="1070" name="ID_B7CD521725E641B88D0AECAFC588B5C0"/>
        <xdr:cNvPicPr>
          <a:picLocks noChangeAspect="1"/>
        </xdr:cNvPicPr>
      </xdr:nvPicPr>
      <xdr:blipFill>
        <a:blip r:embed="rId673"/>
        <a:stretch>
          <a:fillRect/>
        </a:stretch>
      </xdr:blipFill>
      <xdr:spPr>
        <a:xfrm>
          <a:off x="14921865" y="65755520"/>
          <a:ext cx="7429500" cy="3048000"/>
        </a:xfrm>
        <a:prstGeom prst="rect">
          <a:avLst/>
        </a:prstGeom>
        <a:noFill/>
        <a:ln w="9525">
          <a:noFill/>
        </a:ln>
      </xdr:spPr>
    </xdr:pic>
  </etc:cellImage>
  <etc:cellImage>
    <xdr:pic>
      <xdr:nvPicPr>
        <xdr:cNvPr id="1071" name="ID_2FC08F60A75C44099BA229B8E13DDCD8"/>
        <xdr:cNvPicPr>
          <a:picLocks noChangeAspect="1"/>
        </xdr:cNvPicPr>
      </xdr:nvPicPr>
      <xdr:blipFill>
        <a:blip r:embed="rId674"/>
        <a:stretch>
          <a:fillRect/>
        </a:stretch>
      </xdr:blipFill>
      <xdr:spPr>
        <a:xfrm>
          <a:off x="14921865" y="66174620"/>
          <a:ext cx="7429500" cy="3067050"/>
        </a:xfrm>
        <a:prstGeom prst="rect">
          <a:avLst/>
        </a:prstGeom>
        <a:noFill/>
        <a:ln w="9525">
          <a:noFill/>
        </a:ln>
      </xdr:spPr>
    </xdr:pic>
  </etc:cellImage>
  <etc:cellImage>
    <xdr:pic>
      <xdr:nvPicPr>
        <xdr:cNvPr id="1072" name="ID_558DE82170504CB398F8E02C092DEB08"/>
        <xdr:cNvPicPr>
          <a:picLocks noChangeAspect="1"/>
        </xdr:cNvPicPr>
      </xdr:nvPicPr>
      <xdr:blipFill>
        <a:blip r:embed="rId675"/>
        <a:stretch>
          <a:fillRect/>
        </a:stretch>
      </xdr:blipFill>
      <xdr:spPr>
        <a:xfrm>
          <a:off x="14921865" y="67012820"/>
          <a:ext cx="7019925" cy="3133725"/>
        </a:xfrm>
        <a:prstGeom prst="rect">
          <a:avLst/>
        </a:prstGeom>
        <a:noFill/>
        <a:ln w="9525">
          <a:noFill/>
        </a:ln>
      </xdr:spPr>
    </xdr:pic>
  </etc:cellImage>
  <etc:cellImage>
    <xdr:pic>
      <xdr:nvPicPr>
        <xdr:cNvPr id="1073" name="ID_74370CB718BF445EBA5EAC82E4CA5F85"/>
        <xdr:cNvPicPr>
          <a:picLocks noChangeAspect="1"/>
        </xdr:cNvPicPr>
      </xdr:nvPicPr>
      <xdr:blipFill>
        <a:blip r:embed="rId676"/>
        <a:stretch>
          <a:fillRect/>
        </a:stretch>
      </xdr:blipFill>
      <xdr:spPr>
        <a:xfrm>
          <a:off x="14921865" y="67851020"/>
          <a:ext cx="6981825" cy="2019300"/>
        </a:xfrm>
        <a:prstGeom prst="rect">
          <a:avLst/>
        </a:prstGeom>
        <a:noFill/>
        <a:ln w="9525">
          <a:noFill/>
        </a:ln>
      </xdr:spPr>
    </xdr:pic>
  </etc:cellImage>
  <etc:cellImage>
    <xdr:pic>
      <xdr:nvPicPr>
        <xdr:cNvPr id="1074" name="ID_51389441EF0944E7934AE151CF8E77ED"/>
        <xdr:cNvPicPr>
          <a:picLocks noChangeAspect="1"/>
        </xdr:cNvPicPr>
      </xdr:nvPicPr>
      <xdr:blipFill>
        <a:blip r:embed="rId677"/>
        <a:stretch>
          <a:fillRect/>
        </a:stretch>
      </xdr:blipFill>
      <xdr:spPr>
        <a:xfrm>
          <a:off x="14921865" y="68689220"/>
          <a:ext cx="8048625" cy="1600200"/>
        </a:xfrm>
        <a:prstGeom prst="rect">
          <a:avLst/>
        </a:prstGeom>
        <a:noFill/>
        <a:ln w="9525">
          <a:noFill/>
        </a:ln>
      </xdr:spPr>
    </xdr:pic>
  </etc:cellImage>
  <etc:cellImage>
    <xdr:pic>
      <xdr:nvPicPr>
        <xdr:cNvPr id="1075" name="ID_4DFB53AC7D054F1A87DB80738D23882E"/>
        <xdr:cNvPicPr>
          <a:picLocks noChangeAspect="1"/>
        </xdr:cNvPicPr>
      </xdr:nvPicPr>
      <xdr:blipFill>
        <a:blip r:embed="rId678"/>
        <a:stretch>
          <a:fillRect/>
        </a:stretch>
      </xdr:blipFill>
      <xdr:spPr>
        <a:xfrm>
          <a:off x="14921865" y="78747620"/>
          <a:ext cx="7458075" cy="3038475"/>
        </a:xfrm>
        <a:prstGeom prst="rect">
          <a:avLst/>
        </a:prstGeom>
        <a:noFill/>
        <a:ln w="9525">
          <a:noFill/>
        </a:ln>
      </xdr:spPr>
    </xdr:pic>
  </etc:cellImage>
  <etc:cellImage>
    <xdr:pic>
      <xdr:nvPicPr>
        <xdr:cNvPr id="1076" name="ID_CC504F27848147CE9A25D05479D2C695"/>
        <xdr:cNvPicPr>
          <a:picLocks noChangeAspect="1"/>
        </xdr:cNvPicPr>
      </xdr:nvPicPr>
      <xdr:blipFill>
        <a:blip r:embed="rId679"/>
        <a:stretch>
          <a:fillRect/>
        </a:stretch>
      </xdr:blipFill>
      <xdr:spPr>
        <a:xfrm>
          <a:off x="14921865" y="69108320"/>
          <a:ext cx="7515225" cy="3171825"/>
        </a:xfrm>
        <a:prstGeom prst="rect">
          <a:avLst/>
        </a:prstGeom>
        <a:noFill/>
        <a:ln w="9525">
          <a:noFill/>
        </a:ln>
      </xdr:spPr>
    </xdr:pic>
  </etc:cellImage>
  <etc:cellImage>
    <xdr:pic>
      <xdr:nvPicPr>
        <xdr:cNvPr id="1077" name="ID_E3905166CB384248841611A1C9941559"/>
        <xdr:cNvPicPr>
          <a:picLocks noChangeAspect="1"/>
        </xdr:cNvPicPr>
      </xdr:nvPicPr>
      <xdr:blipFill>
        <a:blip r:embed="rId680"/>
        <a:stretch>
          <a:fillRect/>
        </a:stretch>
      </xdr:blipFill>
      <xdr:spPr>
        <a:xfrm>
          <a:off x="14921865" y="70365620"/>
          <a:ext cx="8029575" cy="3086100"/>
        </a:xfrm>
        <a:prstGeom prst="rect">
          <a:avLst/>
        </a:prstGeom>
        <a:noFill/>
        <a:ln w="9525">
          <a:noFill/>
        </a:ln>
      </xdr:spPr>
    </xdr:pic>
  </etc:cellImage>
  <etc:cellImage>
    <xdr:pic>
      <xdr:nvPicPr>
        <xdr:cNvPr id="1078" name="ID_E8BD1049555840B78DBC6531AE400192"/>
        <xdr:cNvPicPr>
          <a:picLocks noChangeAspect="1"/>
        </xdr:cNvPicPr>
      </xdr:nvPicPr>
      <xdr:blipFill>
        <a:blip r:embed="rId681"/>
        <a:stretch>
          <a:fillRect/>
        </a:stretch>
      </xdr:blipFill>
      <xdr:spPr>
        <a:xfrm>
          <a:off x="14921865" y="71622920"/>
          <a:ext cx="7467600" cy="3086100"/>
        </a:xfrm>
        <a:prstGeom prst="rect">
          <a:avLst/>
        </a:prstGeom>
        <a:noFill/>
        <a:ln w="9525">
          <a:noFill/>
        </a:ln>
      </xdr:spPr>
    </xdr:pic>
  </etc:cellImage>
  <etc:cellImage>
    <xdr:pic>
      <xdr:nvPicPr>
        <xdr:cNvPr id="1079" name="ID_CBF79DAABC7D489695F73DC2D69E597D"/>
        <xdr:cNvPicPr>
          <a:picLocks noChangeAspect="1"/>
        </xdr:cNvPicPr>
      </xdr:nvPicPr>
      <xdr:blipFill>
        <a:blip r:embed="rId682"/>
        <a:stretch>
          <a:fillRect/>
        </a:stretch>
      </xdr:blipFill>
      <xdr:spPr>
        <a:xfrm>
          <a:off x="14921865" y="72461120"/>
          <a:ext cx="7400925" cy="1628775"/>
        </a:xfrm>
        <a:prstGeom prst="rect">
          <a:avLst/>
        </a:prstGeom>
        <a:noFill/>
        <a:ln w="9525">
          <a:noFill/>
        </a:ln>
      </xdr:spPr>
    </xdr:pic>
  </etc:cellImage>
  <etc:cellImage>
    <xdr:pic>
      <xdr:nvPicPr>
        <xdr:cNvPr id="1080" name="ID_DC703AFA53ED482E899596DC645246DF"/>
        <xdr:cNvPicPr>
          <a:picLocks noChangeAspect="1"/>
        </xdr:cNvPicPr>
      </xdr:nvPicPr>
      <xdr:blipFill>
        <a:blip r:embed="rId683"/>
        <a:stretch>
          <a:fillRect/>
        </a:stretch>
      </xdr:blipFill>
      <xdr:spPr>
        <a:xfrm>
          <a:off x="14921865" y="82519520"/>
          <a:ext cx="7981950" cy="3057525"/>
        </a:xfrm>
        <a:prstGeom prst="rect">
          <a:avLst/>
        </a:prstGeom>
        <a:noFill/>
        <a:ln w="9525">
          <a:noFill/>
        </a:ln>
      </xdr:spPr>
    </xdr:pic>
  </etc:cellImage>
  <etc:cellImage>
    <xdr:pic>
      <xdr:nvPicPr>
        <xdr:cNvPr id="1081" name="ID_9D44FEA6B7234D09AEB82584433DC360"/>
        <xdr:cNvPicPr>
          <a:picLocks noChangeAspect="1"/>
        </xdr:cNvPicPr>
      </xdr:nvPicPr>
      <xdr:blipFill>
        <a:blip r:embed="rId684"/>
        <a:stretch>
          <a:fillRect/>
        </a:stretch>
      </xdr:blipFill>
      <xdr:spPr>
        <a:xfrm>
          <a:off x="14921865" y="72880220"/>
          <a:ext cx="7029450" cy="3143250"/>
        </a:xfrm>
        <a:prstGeom prst="rect">
          <a:avLst/>
        </a:prstGeom>
        <a:noFill/>
        <a:ln w="9525">
          <a:noFill/>
        </a:ln>
      </xdr:spPr>
    </xdr:pic>
  </etc:cellImage>
  <etc:cellImage>
    <xdr:pic>
      <xdr:nvPicPr>
        <xdr:cNvPr id="1082" name="ID_D99806BDAC36495AA35F493C29A27794"/>
        <xdr:cNvPicPr>
          <a:picLocks noChangeAspect="1"/>
        </xdr:cNvPicPr>
      </xdr:nvPicPr>
      <xdr:blipFill>
        <a:blip r:embed="rId685"/>
        <a:stretch>
          <a:fillRect/>
        </a:stretch>
      </xdr:blipFill>
      <xdr:spPr>
        <a:xfrm>
          <a:off x="14921865" y="73299320"/>
          <a:ext cx="7010400" cy="3105150"/>
        </a:xfrm>
        <a:prstGeom prst="rect">
          <a:avLst/>
        </a:prstGeom>
        <a:noFill/>
        <a:ln w="9525">
          <a:noFill/>
        </a:ln>
      </xdr:spPr>
    </xdr:pic>
  </etc:cellImage>
  <etc:cellImage>
    <xdr:pic>
      <xdr:nvPicPr>
        <xdr:cNvPr id="1083" name="ID_5DE7288839D443A2A588724A84B5F90D"/>
        <xdr:cNvPicPr>
          <a:picLocks noChangeAspect="1"/>
        </xdr:cNvPicPr>
      </xdr:nvPicPr>
      <xdr:blipFill>
        <a:blip r:embed="rId686"/>
        <a:stretch>
          <a:fillRect/>
        </a:stretch>
      </xdr:blipFill>
      <xdr:spPr>
        <a:xfrm>
          <a:off x="15007590" y="74204195"/>
          <a:ext cx="7067550" cy="1247775"/>
        </a:xfrm>
        <a:prstGeom prst="rect">
          <a:avLst/>
        </a:prstGeom>
        <a:noFill/>
        <a:ln w="9525">
          <a:noFill/>
        </a:ln>
      </xdr:spPr>
    </xdr:pic>
  </etc:cellImage>
  <etc:cellImage>
    <xdr:pic>
      <xdr:nvPicPr>
        <xdr:cNvPr id="1084" name="ID_E416E7105DA14593B9DC4CB09E646F8B"/>
        <xdr:cNvPicPr>
          <a:picLocks noChangeAspect="1"/>
        </xdr:cNvPicPr>
      </xdr:nvPicPr>
      <xdr:blipFill>
        <a:blip r:embed="rId687"/>
        <a:stretch>
          <a:fillRect/>
        </a:stretch>
      </xdr:blipFill>
      <xdr:spPr>
        <a:xfrm>
          <a:off x="14921865" y="75813920"/>
          <a:ext cx="7067550" cy="1247775"/>
        </a:xfrm>
        <a:prstGeom prst="rect">
          <a:avLst/>
        </a:prstGeom>
        <a:noFill/>
        <a:ln w="9525">
          <a:noFill/>
        </a:ln>
      </xdr:spPr>
    </xdr:pic>
  </etc:cellImage>
  <etc:cellImage>
    <xdr:pic>
      <xdr:nvPicPr>
        <xdr:cNvPr id="1085" name="ID_7876744764694820A2EEB97B0EF862A6"/>
        <xdr:cNvPicPr>
          <a:picLocks noChangeAspect="1"/>
        </xdr:cNvPicPr>
      </xdr:nvPicPr>
      <xdr:blipFill>
        <a:blip r:embed="rId688"/>
        <a:stretch>
          <a:fillRect/>
        </a:stretch>
      </xdr:blipFill>
      <xdr:spPr>
        <a:xfrm>
          <a:off x="14921865" y="77071220"/>
          <a:ext cx="7496175" cy="3076575"/>
        </a:xfrm>
        <a:prstGeom prst="rect">
          <a:avLst/>
        </a:prstGeom>
        <a:noFill/>
        <a:ln w="9525">
          <a:noFill/>
        </a:ln>
      </xdr:spPr>
    </xdr:pic>
  </etc:cellImage>
  <etc:cellImage>
    <xdr:pic>
      <xdr:nvPicPr>
        <xdr:cNvPr id="1086" name="ID_F4E9E2D9C2ED4E8BAA1E935B6EF297D1"/>
        <xdr:cNvPicPr>
          <a:picLocks noChangeAspect="1"/>
        </xdr:cNvPicPr>
      </xdr:nvPicPr>
      <xdr:blipFill>
        <a:blip r:embed="rId689"/>
        <a:stretch>
          <a:fillRect/>
        </a:stretch>
      </xdr:blipFill>
      <xdr:spPr>
        <a:xfrm>
          <a:off x="14921865" y="77490320"/>
          <a:ext cx="7486650" cy="3133725"/>
        </a:xfrm>
        <a:prstGeom prst="rect">
          <a:avLst/>
        </a:prstGeom>
        <a:noFill/>
        <a:ln w="9525">
          <a:noFill/>
        </a:ln>
      </xdr:spPr>
    </xdr:pic>
  </etc:cellImage>
  <etc:cellImage>
    <xdr:pic>
      <xdr:nvPicPr>
        <xdr:cNvPr id="1087" name="ID_0DF5AB16EDCA4251B1230FD904203B2E"/>
        <xdr:cNvPicPr>
          <a:picLocks noChangeAspect="1"/>
        </xdr:cNvPicPr>
      </xdr:nvPicPr>
      <xdr:blipFill>
        <a:blip r:embed="rId690"/>
        <a:stretch>
          <a:fillRect/>
        </a:stretch>
      </xdr:blipFill>
      <xdr:spPr>
        <a:xfrm>
          <a:off x="14921865" y="78328520"/>
          <a:ext cx="8020050" cy="3133725"/>
        </a:xfrm>
        <a:prstGeom prst="rect">
          <a:avLst/>
        </a:prstGeom>
        <a:noFill/>
        <a:ln w="9525">
          <a:noFill/>
        </a:ln>
      </xdr:spPr>
    </xdr:pic>
  </etc:cellImage>
  <etc:cellImage>
    <xdr:pic>
      <xdr:nvPicPr>
        <xdr:cNvPr id="1088" name="ID_9CCB0B71CFA941C4B165BED749CD1023"/>
        <xdr:cNvPicPr>
          <a:picLocks noChangeAspect="1"/>
        </xdr:cNvPicPr>
      </xdr:nvPicPr>
      <xdr:blipFill>
        <a:blip r:embed="rId691"/>
        <a:stretch>
          <a:fillRect/>
        </a:stretch>
      </xdr:blipFill>
      <xdr:spPr>
        <a:xfrm>
          <a:off x="14921865" y="79166720"/>
          <a:ext cx="7524750" cy="3076575"/>
        </a:xfrm>
        <a:prstGeom prst="rect">
          <a:avLst/>
        </a:prstGeom>
        <a:noFill/>
        <a:ln w="9525">
          <a:noFill/>
        </a:ln>
      </xdr:spPr>
    </xdr:pic>
  </etc:cellImage>
  <etc:cellImage>
    <xdr:pic>
      <xdr:nvPicPr>
        <xdr:cNvPr id="1089" name="ID_9CFF30A22ABE40E099428F770199EBAE"/>
        <xdr:cNvPicPr>
          <a:picLocks noChangeAspect="1"/>
        </xdr:cNvPicPr>
      </xdr:nvPicPr>
      <xdr:blipFill>
        <a:blip r:embed="rId692"/>
        <a:stretch>
          <a:fillRect/>
        </a:stretch>
      </xdr:blipFill>
      <xdr:spPr>
        <a:xfrm>
          <a:off x="14921865" y="79585820"/>
          <a:ext cx="7448550" cy="3105150"/>
        </a:xfrm>
        <a:prstGeom prst="rect">
          <a:avLst/>
        </a:prstGeom>
        <a:noFill/>
        <a:ln w="9525">
          <a:noFill/>
        </a:ln>
      </xdr:spPr>
    </xdr:pic>
  </etc:cellImage>
  <etc:cellImage>
    <xdr:pic>
      <xdr:nvPicPr>
        <xdr:cNvPr id="1090" name="ID_0C8A0845BF1E4993AA98F7F2C8CF71E2"/>
        <xdr:cNvPicPr>
          <a:picLocks noChangeAspect="1"/>
        </xdr:cNvPicPr>
      </xdr:nvPicPr>
      <xdr:blipFill>
        <a:blip r:embed="rId693"/>
        <a:stretch>
          <a:fillRect/>
        </a:stretch>
      </xdr:blipFill>
      <xdr:spPr>
        <a:xfrm>
          <a:off x="14921865" y="80004920"/>
          <a:ext cx="7439025" cy="3038475"/>
        </a:xfrm>
        <a:prstGeom prst="rect">
          <a:avLst/>
        </a:prstGeom>
        <a:noFill/>
        <a:ln w="9525">
          <a:noFill/>
        </a:ln>
      </xdr:spPr>
    </xdr:pic>
  </etc:cellImage>
  <etc:cellImage>
    <xdr:pic>
      <xdr:nvPicPr>
        <xdr:cNvPr id="1091" name="ID_755AA270800B469B965A8ED954C27561"/>
        <xdr:cNvPicPr>
          <a:picLocks noChangeAspect="1"/>
        </xdr:cNvPicPr>
      </xdr:nvPicPr>
      <xdr:blipFill>
        <a:blip r:embed="rId694"/>
        <a:stretch>
          <a:fillRect/>
        </a:stretch>
      </xdr:blipFill>
      <xdr:spPr>
        <a:xfrm>
          <a:off x="14921865" y="80424020"/>
          <a:ext cx="8039100" cy="3048000"/>
        </a:xfrm>
        <a:prstGeom prst="rect">
          <a:avLst/>
        </a:prstGeom>
        <a:noFill/>
        <a:ln w="9525">
          <a:noFill/>
        </a:ln>
      </xdr:spPr>
    </xdr:pic>
  </etc:cellImage>
  <etc:cellImage>
    <xdr:pic>
      <xdr:nvPicPr>
        <xdr:cNvPr id="1092" name="ID_6034C9CDD9B34DFE9E843BC424893E2C"/>
        <xdr:cNvPicPr>
          <a:picLocks noChangeAspect="1"/>
        </xdr:cNvPicPr>
      </xdr:nvPicPr>
      <xdr:blipFill>
        <a:blip r:embed="rId695"/>
        <a:stretch>
          <a:fillRect/>
        </a:stretch>
      </xdr:blipFill>
      <xdr:spPr>
        <a:xfrm>
          <a:off x="14921865" y="80843120"/>
          <a:ext cx="8086725" cy="2038350"/>
        </a:xfrm>
        <a:prstGeom prst="rect">
          <a:avLst/>
        </a:prstGeom>
        <a:noFill/>
        <a:ln w="9525">
          <a:noFill/>
        </a:ln>
      </xdr:spPr>
    </xdr:pic>
  </etc:cellImage>
  <etc:cellImage>
    <xdr:pic>
      <xdr:nvPicPr>
        <xdr:cNvPr id="1093" name="ID_22981E4B82754FECAED8209192CBD996"/>
        <xdr:cNvPicPr>
          <a:picLocks noChangeAspect="1"/>
        </xdr:cNvPicPr>
      </xdr:nvPicPr>
      <xdr:blipFill>
        <a:blip r:embed="rId696"/>
        <a:stretch>
          <a:fillRect/>
        </a:stretch>
      </xdr:blipFill>
      <xdr:spPr>
        <a:xfrm>
          <a:off x="14921865" y="81262220"/>
          <a:ext cx="8086725" cy="2533650"/>
        </a:xfrm>
        <a:prstGeom prst="rect">
          <a:avLst/>
        </a:prstGeom>
        <a:noFill/>
        <a:ln w="9525">
          <a:noFill/>
        </a:ln>
      </xdr:spPr>
    </xdr:pic>
  </etc:cellImage>
  <etc:cellImage>
    <xdr:pic>
      <xdr:nvPicPr>
        <xdr:cNvPr id="1094" name="ID_D5427F4822634696AD1F329334C325D8"/>
        <xdr:cNvPicPr>
          <a:picLocks noChangeAspect="1"/>
        </xdr:cNvPicPr>
      </xdr:nvPicPr>
      <xdr:blipFill>
        <a:blip r:embed="rId697"/>
        <a:stretch>
          <a:fillRect/>
        </a:stretch>
      </xdr:blipFill>
      <xdr:spPr>
        <a:xfrm>
          <a:off x="14921865" y="82938620"/>
          <a:ext cx="8058150" cy="3162300"/>
        </a:xfrm>
        <a:prstGeom prst="rect">
          <a:avLst/>
        </a:prstGeom>
        <a:noFill/>
        <a:ln w="9525">
          <a:noFill/>
        </a:ln>
      </xdr:spPr>
    </xdr:pic>
  </etc:cellImage>
  <etc:cellImage>
    <xdr:pic>
      <xdr:nvPicPr>
        <xdr:cNvPr id="6" name="ID_EB5C83E3F28F42C081974DCC8038D158"/>
        <xdr:cNvPicPr>
          <a:picLocks noChangeAspect="1"/>
        </xdr:cNvPicPr>
      </xdr:nvPicPr>
      <xdr:blipFill>
        <a:blip r:embed="rId698"/>
        <a:stretch>
          <a:fillRect/>
        </a:stretch>
      </xdr:blipFill>
      <xdr:spPr>
        <a:xfrm>
          <a:off x="12837795" y="186371865"/>
          <a:ext cx="11344275" cy="6286500"/>
        </a:xfrm>
        <a:prstGeom prst="rect">
          <a:avLst/>
        </a:prstGeom>
        <a:noFill/>
        <a:ln w="9525">
          <a:noFill/>
        </a:ln>
      </xdr:spPr>
    </xdr:pic>
  </etc:cellImage>
</etc:cellImages>
</file>

<file path=xl/comments1.xml><?xml version="1.0" encoding="utf-8"?>
<comments xmlns="http://schemas.openxmlformats.org/spreadsheetml/2006/main">
  <authors>
    <author>JRSC-HZW</author>
  </authors>
  <commentList>
    <comment ref="S1" authorId="0">
      <text>
        <r>
          <rPr>
            <b/>
            <sz val="9"/>
            <rFont val="宋体"/>
            <charset val="134"/>
          </rPr>
          <t>批注:</t>
        </r>
        <r>
          <rPr>
            <sz val="9"/>
            <rFont val="宋体"/>
            <charset val="134"/>
          </rPr>
          <t xml:space="preserve">
JRSC-HZW:
黑色字体：完成该产出物所需要输入资料
蓝色字体：产出物所在的文档、专业库
绿色字体：本场景中的产出物
</t>
        </r>
      </text>
    </comment>
  </commentList>
</comments>
</file>

<file path=xl/comments2.xml><?xml version="1.0" encoding="utf-8"?>
<comments xmlns="http://schemas.openxmlformats.org/spreadsheetml/2006/main">
  <authors>
    <author>JRSC-HZW</author>
  </authors>
  <commentList>
    <comment ref="S1" authorId="0">
      <text>
        <r>
          <rPr>
            <b/>
            <sz val="9"/>
            <rFont val="宋体"/>
            <charset val="134"/>
          </rPr>
          <t>批注:</t>
        </r>
        <r>
          <rPr>
            <sz val="9"/>
            <rFont val="宋体"/>
            <charset val="134"/>
          </rPr>
          <t xml:space="preserve">
JRSC-HZW:
黑色字体：完成该产出物所需要输入资料
蓝色字体：产出物所在的文档、专业库
绿色字体：本场景中的产出物
</t>
        </r>
      </text>
    </comment>
  </commentList>
</comments>
</file>

<file path=xl/comments3.xml><?xml version="1.0" encoding="utf-8"?>
<comments xmlns="http://schemas.openxmlformats.org/spreadsheetml/2006/main">
  <authors>
    <author>JRSC-HZW</author>
  </authors>
  <commentList>
    <comment ref="S1" authorId="0">
      <text>
        <r>
          <rPr>
            <b/>
            <sz val="9"/>
            <rFont val="宋体"/>
            <charset val="134"/>
          </rPr>
          <t>批注:</t>
        </r>
        <r>
          <rPr>
            <sz val="9"/>
            <rFont val="宋体"/>
            <charset val="134"/>
          </rPr>
          <t xml:space="preserve">
JRSC-HZW:
黑色字体：完成该产出物所需要输入资料
蓝色字体：产出物所在的文档、专业库
绿色字体：本场景中的产出物
</t>
        </r>
      </text>
    </comment>
  </commentList>
</comments>
</file>

<file path=xl/comments4.xml><?xml version="1.0" encoding="utf-8"?>
<comments xmlns="http://schemas.openxmlformats.org/spreadsheetml/2006/main">
  <authors>
    <author>JRSC-HZW</author>
  </authors>
  <commentList>
    <comment ref="S1" authorId="0">
      <text>
        <r>
          <rPr>
            <b/>
            <sz val="9"/>
            <rFont val="宋体"/>
            <charset val="134"/>
          </rPr>
          <t>批注:</t>
        </r>
        <r>
          <rPr>
            <sz val="9"/>
            <rFont val="宋体"/>
            <charset val="134"/>
          </rPr>
          <t xml:space="preserve">
JRSC-HZW:
黑色字体：完成该产出物所需要输入资料
蓝色字体：产出物所在的文档、专业库
绿色字体：本场景中的产出物
</t>
        </r>
      </text>
    </comment>
  </commentList>
</comments>
</file>

<file path=xl/comments5.xml><?xml version="1.0" encoding="utf-8"?>
<comments xmlns="http://schemas.openxmlformats.org/spreadsheetml/2006/main">
  <authors>
    <author>JRSC-HZW</author>
  </authors>
  <commentList>
    <comment ref="S1" authorId="0">
      <text>
        <r>
          <rPr>
            <b/>
            <sz val="9"/>
            <rFont val="宋体"/>
            <charset val="134"/>
          </rPr>
          <t>批注:</t>
        </r>
        <r>
          <rPr>
            <sz val="9"/>
            <rFont val="宋体"/>
            <charset val="134"/>
          </rPr>
          <t xml:space="preserve">
JRSC-HZW:
黑色字体：完成该产出物所需要输入资料
蓝色字体：产出物所在的文档、专业库
绿色字体：本场景中的产出物
</t>
        </r>
      </text>
    </comment>
  </commentList>
</comments>
</file>

<file path=xl/sharedStrings.xml><?xml version="1.0" encoding="utf-8"?>
<sst xmlns="http://schemas.openxmlformats.org/spreadsheetml/2006/main" count="9333" uniqueCount="1740">
  <si>
    <t>业务场景</t>
  </si>
  <si>
    <t>一级节点</t>
  </si>
  <si>
    <t>二级节点</t>
  </si>
  <si>
    <t>三级节点</t>
  </si>
  <si>
    <t>四级节点</t>
  </si>
  <si>
    <t>五级节点</t>
  </si>
  <si>
    <t>六级节点</t>
  </si>
  <si>
    <t>末级工作节点</t>
  </si>
  <si>
    <t>是否行业通用</t>
  </si>
  <si>
    <t>最小业务定义说明</t>
  </si>
  <si>
    <t>主数据类型</t>
  </si>
  <si>
    <t>业务阶段</t>
  </si>
  <si>
    <t>工作类型</t>
  </si>
  <si>
    <t>业务专业</t>
  </si>
  <si>
    <t>业务层级</t>
  </si>
  <si>
    <t>责任部门</t>
  </si>
  <si>
    <t>业务单位</t>
  </si>
  <si>
    <t>业务角色</t>
  </si>
  <si>
    <t>输入物名称</t>
  </si>
  <si>
    <r>
      <rPr>
        <b/>
        <sz val="14"/>
        <rFont val="微软雅黑"/>
        <charset val="134"/>
      </rPr>
      <t>输入物类型</t>
    </r>
    <r>
      <rPr>
        <b/>
        <sz val="14"/>
        <color theme="0"/>
        <rFont val="Arial"/>
        <charset val="134"/>
      </rPr>
      <t xml:space="preserve">	</t>
    </r>
  </si>
  <si>
    <t>输入物样式</t>
  </si>
  <si>
    <t>来源</t>
  </si>
  <si>
    <t>备注</t>
  </si>
  <si>
    <t>产出物名称</t>
  </si>
  <si>
    <t>产出物类型</t>
  </si>
  <si>
    <t>产出物样式</t>
  </si>
  <si>
    <t>业务处理</t>
  </si>
  <si>
    <t>处理业务规则</t>
  </si>
  <si>
    <t>依据的制度标准规范</t>
  </si>
  <si>
    <t>安全工程</t>
  </si>
  <si>
    <t>概述</t>
  </si>
  <si>
    <t>编制目的</t>
  </si>
  <si>
    <t>文档</t>
  </si>
  <si>
    <t>知识库</t>
  </si>
  <si>
    <t>数据提取</t>
  </si>
  <si>
    <t>①初始化显示通用的编制目的
②按需可从知识库提取
③修改完善文本内容
④提交成果</t>
  </si>
  <si>
    <t>无</t>
  </si>
  <si>
    <t>编制范围</t>
  </si>
  <si>
    <t>①初始化显示通用的编制范围
②按需可从知识库提取
③修改完善文本内容
④提交成果</t>
  </si>
  <si>
    <t>编制依据</t>
  </si>
  <si>
    <t>文件资料</t>
  </si>
  <si>
    <t>①初始化显示通用的文件资料
②按需可从知识库提取
③修改完善文本内容
④提交成果</t>
  </si>
  <si>
    <t>法律、法规及规章</t>
  </si>
  <si>
    <t>①初始化显示通用的法律、法规及规章
②按需可从知识库提取
③修改完善文本内容
④提交成果</t>
  </si>
  <si>
    <t>标准、规范</t>
  </si>
  <si>
    <t>国标</t>
  </si>
  <si>
    <t>①初始化显示通用的国标标准规范
②按需可从知识库提取
③修改完善文本内容
④提交成果</t>
  </si>
  <si>
    <t>地标</t>
  </si>
  <si>
    <t>①初始化显示通用的地标标准规范
②按需可从知识库提取
③修改完善文本内容
④提交成果</t>
  </si>
  <si>
    <t>行标</t>
  </si>
  <si>
    <t>①初始化显示通用的行标标准规范
②按需可从知识库提取
③修改完善文本内容
④提交成果</t>
  </si>
  <si>
    <t>企标</t>
  </si>
  <si>
    <t>①初始化显示通用的企标标准规范
②按需可从知识库提取
③修改完善文本内容
④提交成果</t>
  </si>
  <si>
    <t>项目基本情况</t>
  </si>
  <si>
    <t>自然和社会环境概况</t>
  </si>
  <si>
    <t>自然环境</t>
  </si>
  <si>
    <t>①根据项目所属气田可从知识库提取相关数据
②修改完善文本内容
③提交成果</t>
  </si>
  <si>
    <t>气田地理位置示意图</t>
  </si>
  <si>
    <t>图件</t>
  </si>
  <si>
    <t>①根据项目所属气田从知识库获取气田地理位置示意图
②提交成果</t>
  </si>
  <si>
    <t>地形地貌</t>
  </si>
  <si>
    <t>①根据项目所属气田从知识库获取地形地貌
②修改完善文本内容
③提交成果</t>
  </si>
  <si>
    <t>气象气候</t>
  </si>
  <si>
    <t>①根据项目所属气田从知识库获取气象气候
②修改完善文本内容
③提交成果</t>
  </si>
  <si>
    <t>地震烈度来源依据</t>
  </si>
  <si>
    <t>①根据项目所属气田从知识库获取地震烈度来源依据
②修改完善文本内容
③提交成果</t>
  </si>
  <si>
    <t>《中国地震动峰值加速度区划图》、国家地震局最新编制的《建筑抗震设计规范》（GB 50011-2011）</t>
  </si>
  <si>
    <t>抗震设防烈度数据表</t>
  </si>
  <si>
    <t>结构化数据</t>
  </si>
  <si>
    <t>地区
县（市、区）
地震分组
抗震设防烈度
设计基本加速度值</t>
  </si>
  <si>
    <t>①根据项目所属气田从知识库获取抗震设防烈度数据表
②修改完善表格内容
③提交成果</t>
  </si>
  <si>
    <t>《中国地震动峰值加速度区划图》
《建筑抗震设计规范》（GB 50011-2011）</t>
  </si>
  <si>
    <t>社会环境</t>
  </si>
  <si>
    <t>社会环境综述</t>
  </si>
  <si>
    <t>①根据项目所属气田从知识库获取社会环境综述
②修改完善文本内容
③提交成果</t>
  </si>
  <si>
    <t>所在地区人居情况数据表</t>
  </si>
  <si>
    <t>地区
县（市、区）
镇名
面积
人口
人口密度
社会状况</t>
  </si>
  <si>
    <t>①根据项目所属气田从知识库获取所在地区人居情况数据表
②修改完善表格内容
③提交成果</t>
  </si>
  <si>
    <t>相关设施周边人居情况数据表</t>
  </si>
  <si>
    <t>项目名称
平台号
井场地理位置
100米
100-200米
200-300米
300-500米
备注</t>
  </si>
  <si>
    <t>①根据项目所属气田从知识库获取相关设施周边人居情况数据表
②修改完善表格内容
③提交成果</t>
  </si>
  <si>
    <t>气藏工程概况</t>
  </si>
  <si>
    <t>地质特征</t>
  </si>
  <si>
    <t>地质构造</t>
  </si>
  <si>
    <t>地质构造简述</t>
  </si>
  <si>
    <t>①根据项目所属气田从知识库获取地质构造简述
②修改完善文本内容
③提交成果</t>
  </si>
  <si>
    <t>地层特性</t>
  </si>
  <si>
    <t>地层特性简述</t>
  </si>
  <si>
    <t>①根据项目所属气田从知识库获取地层特性简述
②修改完善文本内容
③提交成果</t>
  </si>
  <si>
    <t>气藏特征</t>
  </si>
  <si>
    <t>气藏特征简述</t>
  </si>
  <si>
    <t>①根据项目所属气田从知识库获取气藏特征简述
②修改完善文本内容
③提交成果</t>
  </si>
  <si>
    <t>流体特性</t>
  </si>
  <si>
    <t>流体特性简述</t>
  </si>
  <si>
    <t>①根据项目所属气田从知识库获取流体特性简述
②修改完善文本内容
③提交成果</t>
  </si>
  <si>
    <t>气藏工程</t>
  </si>
  <si>
    <t>气藏储量</t>
  </si>
  <si>
    <t>①根据项目所属气田从知识库获取气藏储量
②修改完善文本内容
③提交成果</t>
  </si>
  <si>
    <t>开发方式</t>
  </si>
  <si>
    <t>①根据项目所属气田从知识库获取开发方式
②修改完善文本内容
③提交成果</t>
  </si>
  <si>
    <t>层系划分</t>
  </si>
  <si>
    <t>①根据项目所属气田从知识库获取层系划分
②修改完善文本内容
③提交成果</t>
  </si>
  <si>
    <t>井网部署</t>
  </si>
  <si>
    <t>①根据项目所属气田从知识库获取井网部署
②修改完善文本内容
③提交成果</t>
  </si>
  <si>
    <t>产量预测</t>
  </si>
  <si>
    <t>产量预测综述</t>
  </si>
  <si>
    <t>①根据项目所属气田从知识库获取产量预测综述
②修改完善文本内容
③提交成果</t>
  </si>
  <si>
    <t>产量预测-经验统计法</t>
  </si>
  <si>
    <t>①根据项目所属气田从知识库获取产量预测-经验统计法
②修改完善文本内容
③提交成果</t>
  </si>
  <si>
    <t>完钻已测试井经验统计法合理配产统计表</t>
  </si>
  <si>
    <t>井台
井名
测试层位
无阻流量
四分之一配产
五分之一配产</t>
  </si>
  <si>
    <t>①根据项目所属气田从气藏工程获取相关设施周边人居情况数据
②修改完善表格内容
③提交成果</t>
  </si>
  <si>
    <t>产量预测-试采法</t>
  </si>
  <si>
    <t>①根据项目所属气田从知识库获取产量预测-试采法
②修改完善文本内容
③提交成果</t>
  </si>
  <si>
    <t>气井试采情况统计表</t>
  </si>
  <si>
    <t>井名
无阻流量
稳定油压
试采稳定产量
试采稳定产量/无阻流量
累计产气
产水</t>
  </si>
  <si>
    <t>①根据项目所属气田从气藏工程获取气井试采情况统计表
②修改完善表格内容
③提交成果</t>
  </si>
  <si>
    <t>产量预测-无阻流量预测法</t>
  </si>
  <si>
    <t>①根据项目所属气田从知识库获取产量预测-无阻流量预测法
②修改完善文本内容
③提交成果</t>
  </si>
  <si>
    <t>储层长度与孔隙度乘积预测气井无阻流量表</t>
  </si>
  <si>
    <t>井台
井名
测试（生产）层位
优化大斜度井靶间距
储层长度与孔隙度乘积
预测无阻流量
四分之一配产
五分之一配产</t>
  </si>
  <si>
    <t>①根据项目所属气田从气藏工程获取储层长度与孔隙度乘积预测气井无阻流量表
②修改完善表格内容
③提交成果</t>
  </si>
  <si>
    <t>产量预测-全气藏数值模拟法</t>
  </si>
  <si>
    <t>①根据项目所属气田从知识库获取产量预测-全气藏数值模拟法
②修改完善文本内容
③提交成果</t>
  </si>
  <si>
    <t>数值模拟法合理配产统计表</t>
  </si>
  <si>
    <t>井名
配产
稳产时间
稳产期累产气
稳产期见水时间
预测期末累产气
预测期末累产水</t>
  </si>
  <si>
    <t>①根据项目所属气田从气藏工程获取数值模拟法合理配产统计表
②修改完善表格内容
③提交成果</t>
  </si>
  <si>
    <t>钻井工程概况</t>
  </si>
  <si>
    <t>钻井</t>
  </si>
  <si>
    <t>钻井现场及周边环境</t>
  </si>
  <si>
    <t>钻井周边环境综述</t>
  </si>
  <si>
    <t>①根据项目所属气田从知识库获取钻井周边环境综述
②修改完善文本内容
③提交成果</t>
  </si>
  <si>
    <t>钻井数量与平面布置</t>
  </si>
  <si>
    <t>①根据项目所属气田从知识库获取钻井数量与平面布置
②修改完善文本内容
③提交成果</t>
  </si>
  <si>
    <t>项目各平台位置概况表</t>
  </si>
  <si>
    <t>项目名称
平台号
地理位置
东-名称
东-距离
南-名称
南-距离
西-名称
西-距离
北-名称
北-距离
东南-名称
东南-距离
西南-名称
西南-距离
西北-名称
西北-距离
东北-名称
东北-距离</t>
  </si>
  <si>
    <t>钻井工程</t>
  </si>
  <si>
    <t>①根据项目所属气田从钻井工程获取项目各平台位置概况表
②修改完善表格内容
③提交成果</t>
  </si>
  <si>
    <t>井身结构及套管程序要求</t>
  </si>
  <si>
    <t>井身结构要求</t>
  </si>
  <si>
    <t>①根据项目所属气田从知识库获取井身结构要求
②修改完善文本内容
③提交成果</t>
  </si>
  <si>
    <t>部署井参数表</t>
  </si>
  <si>
    <t>项目名称
井台
井名
水平段长度
备注</t>
  </si>
  <si>
    <t>①根据项目所属气田从钻井工程获取部署井参数表
②修改完善表格内容
③提交成果</t>
  </si>
  <si>
    <t>套管程序要求</t>
  </si>
  <si>
    <t>①根据项目所属气田从知识库获取套管程序要求
②修改完善文本内容
③提交成果</t>
  </si>
  <si>
    <t>新部署井轨道设计关键数据表</t>
  </si>
  <si>
    <t>项目名称
方案井名
井型
A靶点垂深
B靶点垂深
造斜点
造斜率
最大井斜
井底位移
设计井深</t>
  </si>
  <si>
    <t>①根据项目所属气田从钻井工程获取新部署井轨道设计关键数据表
②修改完善表格内容
③提交成果</t>
  </si>
  <si>
    <t>钻机型号及主要配套设备</t>
  </si>
  <si>
    <t>①根据项目所属气田从知识库获取钻机型号及主要配套设备
②修改完善文本内容
③提交成果</t>
  </si>
  <si>
    <t>钻井液类型密度性能要求等</t>
  </si>
  <si>
    <t>钻井液性能要求及选择</t>
  </si>
  <si>
    <t>①根据项目所属气田从知识库获取钻井液性能要求及选择
②修改完善文本内容
③提交成果</t>
  </si>
  <si>
    <t>钻井液体系表</t>
  </si>
  <si>
    <t>项目名称
开次
钻井液体系
选择依据</t>
  </si>
  <si>
    <t>①根据项目所属气田从钻井工程获取钻井液体系表
②修改完善表格内容
③提交成果</t>
  </si>
  <si>
    <t>钻井液性能表</t>
  </si>
  <si>
    <t>钻井液体系
井段
密度
漏斗粘度
塑性粘度
动切力
静切力10"/10'
API失水/泥饼厚度
HPHT失水/泥饼厚度
PH值
膨润土含量
固相含量
含砂量
泥饼粘滞系数
K+浓度</t>
  </si>
  <si>
    <t>①根据项目所属气田从钻井工程获取钻井液性能表
②修改完善表格内容
③提交成果</t>
  </si>
  <si>
    <t>固井方式、固井质量、套管强度、注水泥</t>
  </si>
  <si>
    <t>固井技术</t>
  </si>
  <si>
    <t>①根据项目所属气田从知识库获取固井技术
②修改完善文本内容
③提交成果</t>
  </si>
  <si>
    <t>水泥浆体系设计表</t>
  </si>
  <si>
    <t>项目名称
套管程序
水泥浆体系
固井方式
备注</t>
  </si>
  <si>
    <t>①根据项目所属气田从钻井工程获取水泥浆体系设计表
②修改完善表格内容
③提交成果</t>
  </si>
  <si>
    <t>水泥浆用量及固井方式表</t>
  </si>
  <si>
    <t>井眼尺寸
套管外径
水泥浆上返
水泥浆密度
水泥型号
水泥浆量
固井方式
套管下深-起
套管下深-止</t>
  </si>
  <si>
    <t>①根据项目所属气田从钻井工程获取水泥浆用量及固井方式表
②修改完善表格内容
③提交成果</t>
  </si>
  <si>
    <t>选用套管性能参数表</t>
  </si>
  <si>
    <t>项目名称
套管程序
外径
通径
钢级
壁厚
推荐扣型
每米重量
接箍外径
抗拉强度
抗挤强度
抗内压强度</t>
  </si>
  <si>
    <t>①根据项目所属气田从钻井工程获取选用套管性能参数表
②修改完善表格内容
③提交成果</t>
  </si>
  <si>
    <t>套管柱强度校核数据表</t>
  </si>
  <si>
    <t>项目名称
套管名称
外径
套管下深-起
套管下深-止
钢级
壁厚
每米重量
段重
安全系数-抗内压
安全系数-抗挤
安全系数-抗拉</t>
  </si>
  <si>
    <t>①根据项目所属气田从钻井工程获取套管柱强度校核数据表
②修改完善表格内容
③提交成果</t>
  </si>
  <si>
    <t>井控技术</t>
  </si>
  <si>
    <t>①根据项目所属气田从知识库获取井控技术
②修改完善文本内容
③提交成果</t>
  </si>
  <si>
    <t>录井</t>
  </si>
  <si>
    <t>录井要求</t>
  </si>
  <si>
    <t>①根据项目所属气田从知识库获取录井要求
②修改完善文本内容
③提交成果</t>
  </si>
  <si>
    <t>钻井地质录井项目表</t>
  </si>
  <si>
    <t>项目类别
录井类别
录井项目
录井井段
录井要求</t>
  </si>
  <si>
    <t>①根据项目所属气田从钻井工程获取钻井地质录井项目表
②修改完善表格内容
③提交成果</t>
  </si>
  <si>
    <t>录井方法</t>
  </si>
  <si>
    <t>①根据项目所属气田从知识库获取录井方法
②修改完善文本内容
③提交成果</t>
  </si>
  <si>
    <t>施工设备及要求</t>
  </si>
  <si>
    <t>录井施工设备及要求</t>
  </si>
  <si>
    <t>①根据项目所属气田从知识库获取录井施工设备及要求
②修改完善文本内容
③提交成果</t>
  </si>
  <si>
    <t>测井</t>
  </si>
  <si>
    <t>测井要求</t>
  </si>
  <si>
    <t>①根据项目所属气田从知识库获取测井要求
②修改完善文本内容
③提交成果</t>
  </si>
  <si>
    <t>设计井测井项目表</t>
  </si>
  <si>
    <t>开次
测井系列
测井项目
测井方式
备注</t>
  </si>
  <si>
    <t>①根据项目所属气田从钻井工程获取设计井测井项目表
②修改完善表格内容
③提交成果</t>
  </si>
  <si>
    <t>测井方法</t>
  </si>
  <si>
    <t>①根据项目所属气田从知识库获取测井方法
②修改完善文本内容
③提交成果</t>
  </si>
  <si>
    <t>测井施工设备及要求</t>
  </si>
  <si>
    <t>①根据项目所属气田从知识库获取测井施工设备及要求
②修改完善文本内容
③提交成果</t>
  </si>
  <si>
    <t>采气工程概况</t>
  </si>
  <si>
    <t>完井</t>
  </si>
  <si>
    <t>完井简述</t>
  </si>
  <si>
    <t>①根据项目所属气田从知识库获取完井简述
②修改完善文本内容
③提交成果</t>
  </si>
  <si>
    <t>完井方式</t>
  </si>
  <si>
    <t>完井方式简述</t>
  </si>
  <si>
    <t>①根据项目所属气田从知识库获取完井方式简述
②修改完善文本内容
③提交成果</t>
  </si>
  <si>
    <t>完井工具</t>
  </si>
  <si>
    <t>①根据项目所属气田从知识库获取完井工具
②修改完善文本内容
③提交成果</t>
  </si>
  <si>
    <t>完井管柱</t>
  </si>
  <si>
    <t>①根据项目所属气田从知识库获取完井管柱
②修改完善文本内容
③提交成果</t>
  </si>
  <si>
    <t>投产管柱结构示意图</t>
  </si>
  <si>
    <t>采气工程</t>
  </si>
  <si>
    <t>①根据项目所属气田从采气工程获取投产管柱结构示意图
②提交成果</t>
  </si>
  <si>
    <t>射孔工艺</t>
  </si>
  <si>
    <t>①根据项目所属气田从知识库获取射孔工艺
②修改完善文本内容
③提交成果</t>
  </si>
  <si>
    <t>投产作业</t>
  </si>
  <si>
    <t>投产作业简述</t>
  </si>
  <si>
    <t>①根据项目所属气田从知识库获取投产作业简述
②修改完善文本内容
③提交成果</t>
  </si>
  <si>
    <t>施工工艺</t>
  </si>
  <si>
    <t>投产作业施工工艺</t>
  </si>
  <si>
    <t>①根据项目所属气田从知识库获取投产作业施工工艺
②修改完善文本内容
③提交成果</t>
  </si>
  <si>
    <t>主要设备</t>
  </si>
  <si>
    <t>投产使用主要设备情况</t>
  </si>
  <si>
    <t>①根据项目所属气田从知识库获取投产使用主要设备情况
②修改完善文本内容
③提交成果</t>
  </si>
  <si>
    <t>施工参数</t>
  </si>
  <si>
    <t>投产施工参数</t>
  </si>
  <si>
    <t>①根据项目所属气田从知识库获取投产施工参数
②修改完善文本内容
③提交成果</t>
  </si>
  <si>
    <t>试气</t>
  </si>
  <si>
    <t>试气简述</t>
  </si>
  <si>
    <t>①根据项目所属气田从知识库获取试气简述
②修改完善文本内容
③提交成果</t>
  </si>
  <si>
    <t>试气工艺</t>
  </si>
  <si>
    <t>①根据项目所属气田从知识库获取试气工艺
②修改完善文本内容
③提交成果</t>
  </si>
  <si>
    <t>试气使用主要设备情况</t>
  </si>
  <si>
    <t>①根据项目所属气田从知识库获取试气使用主要设备情况
②修改完善文本内容
③提交成果</t>
  </si>
  <si>
    <t>试气施工参数</t>
  </si>
  <si>
    <t>①根据项目所属气田从知识库获取试气施工参数
②修改完善文本内容
③提交成果</t>
  </si>
  <si>
    <t>采气</t>
  </si>
  <si>
    <t>采气生产制度</t>
  </si>
  <si>
    <t>①根据项目所属气田从知识库获取采气生产制度
②修改完善文本内容
③提交成果</t>
  </si>
  <si>
    <t>采气井口装置</t>
  </si>
  <si>
    <t>采气井口装置简述</t>
  </si>
  <si>
    <t>①根据项目所属气田从知识库获取采气井口装置简述
②修改完善文本内容
③提交成果</t>
  </si>
  <si>
    <t>井口装置主要参数选择表</t>
  </si>
  <si>
    <t>项目类别
井口参数
参数类别
选择依据
备注</t>
  </si>
  <si>
    <t>①根据项目所属气田从采气工程获取井口装置主要参数选择表
②修改完善表格内容
③提交成果</t>
  </si>
  <si>
    <t>井口装置连接及配套</t>
  </si>
  <si>
    <t>采气树结构</t>
  </si>
  <si>
    <t>①根据项目所属气田从知识库获取采气树结构简述
②修改完善文本内容
③提交成果</t>
  </si>
  <si>
    <t>采气树结构示意图</t>
  </si>
  <si>
    <t>①根据项目所属气田从采气工程获取采气树结构示意图
②提交成果</t>
  </si>
  <si>
    <t>采气树配置参数要求表</t>
  </si>
  <si>
    <t>项目名称
主通径
侧通径
穿越通道
油管悬挂器密封
控制柜要求
其它</t>
  </si>
  <si>
    <t>①根据项目所属气田从采气工程获取采气树配置参数要求表
②修改完善表格内容
③提交成果</t>
  </si>
  <si>
    <t>采气井口地面安全控制系统</t>
  </si>
  <si>
    <t>①根据项目所属气田从知识库获取采气井口地面安全控制系统
②修改完善文本内容
③提交成果</t>
  </si>
  <si>
    <t>油管抗气体冲蚀性能</t>
  </si>
  <si>
    <t>油管抗冲蚀临界流量计算表</t>
  </si>
  <si>
    <t>项目名称
井口压力
产量等级
油管内径要求</t>
  </si>
  <si>
    <t>①根据项目所属气田从采气工程获取油管抗冲蚀临界流量计算表
②修改完善表格内容
③提交成果</t>
  </si>
  <si>
    <t>管柱变径位置抗冲蚀临界流量计算</t>
  </si>
  <si>
    <t>①根据项目所属气田从知识库获取管柱变径位置抗冲蚀临界流量计算
②修改完善文本内容
③提交成果</t>
  </si>
  <si>
    <t>采气及生产开发井监测</t>
  </si>
  <si>
    <t>①根据项目所属气田从知识库获取采气及生产开发井监测
②修改完善文本内容
③提交成果</t>
  </si>
  <si>
    <t>地面工程概况</t>
  </si>
  <si>
    <t>天然气集输及净化处理工程</t>
  </si>
  <si>
    <t>总体布局</t>
  </si>
  <si>
    <t>总体布局简述</t>
  </si>
  <si>
    <t>①根据项目所属气田从知识库获取总体布局简述
②修改完善文本内容
③提交成果</t>
  </si>
  <si>
    <t>地面工程总体布局表</t>
  </si>
  <si>
    <t>项目名称
序号
类别
数量或能力
描述</t>
  </si>
  <si>
    <t>地面工程</t>
  </si>
  <si>
    <t>①根据项目所属气田从地面工程获取地面工程总体布局表
②修改完善表格内容
③提交成果</t>
  </si>
  <si>
    <t>集输及净化处理</t>
  </si>
  <si>
    <t>集输工程流程概述</t>
  </si>
  <si>
    <t>①根据项目所属气田从知识库获取集输工程流程概述1
②修改完善文本内容
③提交成果</t>
  </si>
  <si>
    <t>脱硫工艺概述</t>
  </si>
  <si>
    <t>①根据项目所属气田从知识库获取脱硫工艺概述
②修改完善文本内容
③提交成果</t>
  </si>
  <si>
    <t>站场平面布置概述1</t>
  </si>
  <si>
    <t>①根据项目所属气田从知识库获取站场平面布置概述1
②修改完善文本内容
③提交成果</t>
  </si>
  <si>
    <t>脱硫站平面示意图</t>
  </si>
  <si>
    <t>①根据项目所属气田从地面工程获取脱硫站平面示意图
②提交成果</t>
  </si>
  <si>
    <t>站场平面布置概述2</t>
  </si>
  <si>
    <t>①根据项目所属气田从知识库获取站场平面布置概述2
②修改完善文本内容
③提交成果</t>
  </si>
  <si>
    <t>脱硫站、集输站平面示意图</t>
  </si>
  <si>
    <t>①根据项目所属气田从地面工程获取脱硫站、集输站平面示意图
②提交成果</t>
  </si>
  <si>
    <t>集输管道概述</t>
  </si>
  <si>
    <t>①根据项目所属气田从知识库获取集输管道概述
②修改完善文本内容
③提交成果</t>
  </si>
  <si>
    <t>集输管网走向图</t>
  </si>
  <si>
    <t>①根据项目所属气田从地面工程获取集输管网走向图
②提交成果</t>
  </si>
  <si>
    <t>站场分级情况</t>
  </si>
  <si>
    <t>①根据项目所属气田从知识库获取站场分级情况
②修改完善文本内容
③提交成果</t>
  </si>
  <si>
    <t>GB 50183-2004《石油天然气工程设计防火规范》3.2.3</t>
  </si>
  <si>
    <t>外输管道</t>
  </si>
  <si>
    <t>外输管道概况</t>
  </si>
  <si>
    <t>①根据项目所属气田从知识库获取外输管道概况
②修改完善文本内容
③提交成果</t>
  </si>
  <si>
    <t>外输管道总体走向图</t>
  </si>
  <si>
    <t>①根据项目所属气田从地面工程获取外输管道总体走向图
②提交成果</t>
  </si>
  <si>
    <t>注入工程</t>
  </si>
  <si>
    <t>注入工程概况</t>
  </si>
  <si>
    <t>①根据项目所属气田从知识库获取注入工程概况
②修改完善文本内容
③提交成果</t>
  </si>
  <si>
    <t>公用工程及辅助生产设施</t>
  </si>
  <si>
    <t>供配电</t>
  </si>
  <si>
    <t>供配电概况</t>
  </si>
  <si>
    <t>①根据项目所属气田从知识库获取供配电概况
②修改完善文本内容
③提交成果</t>
  </si>
  <si>
    <t>供水</t>
  </si>
  <si>
    <t>供水概况</t>
  </si>
  <si>
    <t>①根据项目所属气田从知识库获取供水概况
②修改完善文本内容
③提交成果</t>
  </si>
  <si>
    <t>天然气集输站集输部分消防</t>
  </si>
  <si>
    <t>天然气集输站集输部分消防概况</t>
  </si>
  <si>
    <t>①根据项目所属气田从知识库获取天然气集输站集输部分消防概况
②修改完善文本内容
③提交成果</t>
  </si>
  <si>
    <t>通信</t>
  </si>
  <si>
    <t>通信概况</t>
  </si>
  <si>
    <t>①根据项目所属气田从知识库获取通信概况
②修改完善文本内容
③提交成果</t>
  </si>
  <si>
    <t>建筑</t>
  </si>
  <si>
    <t>建筑概况</t>
  </si>
  <si>
    <t>①根据项目所属气田从知识库获取建筑概况
②修改完善文本内容
③提交成果</t>
  </si>
  <si>
    <t>结构</t>
  </si>
  <si>
    <t>结构概况</t>
  </si>
  <si>
    <t>①根据项目所属气田从知识库获取结构概况
②修改完善文本内容
③提交成果</t>
  </si>
  <si>
    <t>其他配套工程</t>
  </si>
  <si>
    <t>其他配套工程概况</t>
  </si>
  <si>
    <t>①根据项目所属气田从知识库获取其他配套工程概况
②修改完善文本内容
③提交成果</t>
  </si>
  <si>
    <t>水工保护情况</t>
  </si>
  <si>
    <t>①根据项目所属气田从知识库获取水工保护情况
②修改完善文本内容
③提交成果</t>
  </si>
  <si>
    <t>GB50201-2014《防洪标准》5.0.4条款及6.5.3条款</t>
  </si>
  <si>
    <t>依托的资源</t>
  </si>
  <si>
    <t>可依托的应急救援资源</t>
  </si>
  <si>
    <t>可依托的应急救援资源概况</t>
  </si>
  <si>
    <t>①根据项目所属气田从知识库获取可依托的应急救援资源概况
②修改完善文本内容
③提交成果</t>
  </si>
  <si>
    <t>SY/T 6772－2009《气体防护站设计规范》</t>
  </si>
  <si>
    <t>拟新建应急救援站</t>
  </si>
  <si>
    <t>拟新建应急救援站概况</t>
  </si>
  <si>
    <t>①根据项目所属气田从知识库获取拟新建应急救援站概况
②修改完善文本内容
③提交成果</t>
  </si>
  <si>
    <t>危险有害因素分析</t>
  </si>
  <si>
    <t>主要物质危险有害因素分析</t>
  </si>
  <si>
    <t>项目存在的主要危险有害物质</t>
  </si>
  <si>
    <t>项目存在的主要危险有害物质概述</t>
  </si>
  <si>
    <t>①根据项目所属气田从知识库获取项目存在的主要危险有害物质概述
②修改完善文本内容
③提交成果</t>
  </si>
  <si>
    <t>危险有害物质汇总表</t>
  </si>
  <si>
    <t>项目名称
有害物质名称
分布部位
CAS号
备注</t>
  </si>
  <si>
    <t>①从知识库获取添加危险有害物质
②修改完善表格内容
③提交成果</t>
  </si>
  <si>
    <t>主要危险有害物质的危险特性分析</t>
  </si>
  <si>
    <t>主要危险有害物质的危险特性分析概述</t>
  </si>
  <si>
    <t>①根据项目所属气田从知识库获取主要危险有害物质的危险特性分析概述
②修改完善文本内容
③提交成果</t>
  </si>
  <si>
    <t>主要物质的危险特性表</t>
  </si>
  <si>
    <t>项目名称
物质名称
爆炸极限
闪点
火灾类别
毒性分级</t>
  </si>
  <si>
    <t>①从知识库获取添加主要物质的危险特性
②修改完善表格内容
③提交成果</t>
  </si>
  <si>
    <t>《危险化学品名录（2015年版）》(国务院令第591号)、《石油天然气工程设计防火规范》（GB50183-2004） 和《职业性接触毒物危害程度分级》（GBZ230-2010）</t>
  </si>
  <si>
    <t>尘毒及腐蚀性危害物质的危害特征描述</t>
  </si>
  <si>
    <t>①根据项目所属气田从知识库获取尘毒及腐蚀性危害物质的危害特征描述
②修改完善文本内容
③提交成果</t>
  </si>
  <si>
    <t>站场主要危险物质分布及危害特性分析</t>
  </si>
  <si>
    <t>站场主要危险物质种类</t>
  </si>
  <si>
    <t>①根据项目所属气田从知识库获取站场主要危险物质种类
②修改完善文本内容
③提交成果</t>
  </si>
  <si>
    <t>《危险化学品名录（2015 版）》</t>
  </si>
  <si>
    <t>站场危险物料分布情况一览表</t>
  </si>
  <si>
    <t>项目名称
工序
主要涉及的危险物品</t>
  </si>
  <si>
    <t>①从知识库获取添加站场危险物料分布情况
②修改完善表格内容
③提交成果</t>
  </si>
  <si>
    <t>①根据项目所属气田从知识库获取站场主要危险物质分布及危害特性分析
②修改完善文本内容
③提交成果</t>
  </si>
  <si>
    <t>主要危险物料的危害特性及控制指标表</t>
  </si>
  <si>
    <t xml:space="preserve">介质名称
状态
闪点
引燃温度
爆炸极限
爆炸危险类别级别
爆炸危险类别组别
火灾危险类别
职业危害程度分级 </t>
  </si>
  <si>
    <t>①从知识库获取添加主要危险物料的危害特性及控制指标
②修改完善表格内容
③提交成果</t>
  </si>
  <si>
    <t>硫化氢危害程度分析</t>
  </si>
  <si>
    <t>硫化氢浓度限值</t>
  </si>
  <si>
    <t>硫化氢浓度限值简述</t>
  </si>
  <si>
    <t>①根据项目所属气田从知识库获取硫化氢浓度限值简述
②修改完善文本内容
③提交成果</t>
  </si>
  <si>
    <t>《硫化氢环境人身防护规范》SY/T6277-2017
《工作场所有害因素职业接触限值 第1部分：化学有害因素》(GBZ 2.1-2019)</t>
  </si>
  <si>
    <t>硫化氢公众危害程度等级评价</t>
  </si>
  <si>
    <t>①根据项目所属气田从知识库获取硫化氢公众危害程度等级评价
②修改完善文本内容
③提交成果</t>
  </si>
  <si>
    <t>《含硫化氢天然气井公众危害程度分级方法》（AQ2017-2008）</t>
  </si>
  <si>
    <t>距离要求</t>
  </si>
  <si>
    <t>油气井井口公众安全距离表</t>
  </si>
  <si>
    <t>国家标准
介质名称
安全距离
备注</t>
  </si>
  <si>
    <t>①从知识库获取添加油气井井口公众安全距离
②修改完善表格内容
③提交成果</t>
  </si>
  <si>
    <t>《中华人民共和国AQ2018-2008 含硫化氢天然气井公众安全防护距离》</t>
  </si>
  <si>
    <t>油气井井口井喷失控模拟计算</t>
  </si>
  <si>
    <t>①根据项目所属气田从知识库获取油气井井口井喷失控模拟计算
②修改完善文本内容
③提交成果</t>
  </si>
  <si>
    <t>《硫化氢环境人身防护规范》SY/T6277-2017</t>
  </si>
  <si>
    <t>天然气集气站搬迁区域表</t>
  </si>
  <si>
    <t>行业标准
介质名称
搬迁要求
备注</t>
  </si>
  <si>
    <t>①从知识库获取添加天然气集气站搬迁区域
②修改完善表格内容
③提交成果</t>
  </si>
  <si>
    <t>《含硫油气田硫化氢监测与人身安全防护规定》SYT 6277-2017中，7.1.1及7.1.3</t>
  </si>
  <si>
    <t>天然气集气站搬迁区域要求</t>
  </si>
  <si>
    <t>①根据项目所属气田从知识库获取天然气集气站搬迁区域要求
②修改完善文本内容
③提交成果</t>
  </si>
  <si>
    <t>天然气集气站应急撤离区域表</t>
  </si>
  <si>
    <t>行业标准
介质名称
应急撤离要求
备注</t>
  </si>
  <si>
    <t>①从知识库获取添加天然气集气站应急撤离区域
②修改完善表格内容
③提交成果</t>
  </si>
  <si>
    <t>《含硫油气田硫化氢监测与人身安全防护规定》SYT 6277-2017中，8.2.1.1及8.2.1.3</t>
  </si>
  <si>
    <t>天然气泄漏撤离区域要求</t>
  </si>
  <si>
    <t>①根据项目所属气田从知识库获取天然气泄漏撤离区域要求
②修改完善文本内容
③提交成果</t>
  </si>
  <si>
    <t>《含硫油气田硫化氢监测与人身安全防护规定》SYT 6277-2017</t>
  </si>
  <si>
    <t>石油天然气站场防火间距表</t>
  </si>
  <si>
    <t>场所名称
站场三级
站场四级
站场五级
可能携带可燃液体的火炬</t>
  </si>
  <si>
    <t>①从知识库获取添加石油天然气站场防火间距
②修改完善表格内容
③提交成果</t>
  </si>
  <si>
    <t>管线距离要求</t>
  </si>
  <si>
    <t>①根据项目所属气田从知识库获取管线距离要求
②修改完善文本内容
③提交成果</t>
  </si>
  <si>
    <t>自然及社会危险有害因素分析</t>
  </si>
  <si>
    <t>洪灾与滑坡</t>
  </si>
  <si>
    <t>洪灾与滑坡情况综述</t>
  </si>
  <si>
    <t>①根据项目所属气田从知识库获取洪灾与滑坡情况综述
②修改完善文本内容
③提交成果</t>
  </si>
  <si>
    <t>洪灾与滑坡因素分析</t>
  </si>
  <si>
    <t>①根据项目所属气田从知识库获取洪灾与滑坡因素分析
②修改完善文本内容
③提交成果</t>
  </si>
  <si>
    <t>《建筑物电子信息系统防雷技术规范》（GB50343-2012）】的地区雷暴日等级划分标准</t>
  </si>
  <si>
    <t>雷击</t>
  </si>
  <si>
    <t>雷击概况</t>
  </si>
  <si>
    <t>①根据项目所属气田从知识库获取雷击概况
②修改完善文本内容
③提交成果</t>
  </si>
  <si>
    <t>雷击因素分析</t>
  </si>
  <si>
    <t>①根据项目所属气田从知识库获取雷击因素分析
②修改完善文本内容
③提交成果</t>
  </si>
  <si>
    <t>地震</t>
  </si>
  <si>
    <t>地震概况</t>
  </si>
  <si>
    <t>①根据项目所属气田从知识库获取地震概况
②修改完善文本内容
③提交成果</t>
  </si>
  <si>
    <t>《中国地震动参数区划图》（GB18306-2015）附录C-表C.23 和《建筑抗震设 计规范》（GB 50011-2010）</t>
  </si>
  <si>
    <t>地震因素分析</t>
  </si>
  <si>
    <t>①根据项目所属气田从知识库获取地震因素分析
②修改完善文本内容
③提交成果</t>
  </si>
  <si>
    <t>施工及工艺过程危险有害因素分析</t>
  </si>
  <si>
    <t>地质风险</t>
  </si>
  <si>
    <t>井涌、井喷情况分析</t>
  </si>
  <si>
    <t>①根据项目所属气田从知识库获取井涌、井喷情况分析
②修改完善文本内容
③提交成果</t>
  </si>
  <si>
    <t>井漏情况分析</t>
  </si>
  <si>
    <t>①根据项目所属气田从知识库获取井漏情况分析
②修改完善文本内容
③提交成果</t>
  </si>
  <si>
    <t>井塌卡钻情况分析</t>
  </si>
  <si>
    <t>①根据项目所属气田从知识库获取井塌卡钻情况分析
②修改完善文本内容
③提交成果</t>
  </si>
  <si>
    <t>施工过程危险有害因素分析</t>
  </si>
  <si>
    <t>钻井施工过程危险有害因素分析概述</t>
  </si>
  <si>
    <t>①根据项目所属气田从知识库获取钻井施工过程危险有害因素分析概述
②修改完善文本内容
③提交成果</t>
  </si>
  <si>
    <t>本项目钻井施工过程危险有害因素分析</t>
  </si>
  <si>
    <t>①根据项目所属气田从知识库获取本项目钻井施工过程危险有害因素分析
②修改完善文本内容
③提交成果</t>
  </si>
  <si>
    <t>钻前施工危险有害因素分析</t>
  </si>
  <si>
    <t>①根据项目所属气田从知识库获取钻前施工危险有害因素分析
②修改完善文本内容
③提交成果</t>
  </si>
  <si>
    <t>钻井设备搬迁和安装危险有害因素分析</t>
  </si>
  <si>
    <t>①根据项目所属气田从知识库获取钻井设备搬迁和安装危险有害因素分析
②修改完善文本内容
③提交成果</t>
  </si>
  <si>
    <t>钻井设备安装、拆迁危险有害因素分析表</t>
  </si>
  <si>
    <t>项目名称
施工类型
危险名称
阶段名称
起因
影响</t>
  </si>
  <si>
    <t>①从知识库获取添加钻井设备安装、拆迁危险有害因素
②修改完善表格内容
③提交成果</t>
  </si>
  <si>
    <t>井架拆装危险有害因素分析</t>
  </si>
  <si>
    <t>①根据项目所属气田从知识库获取井架拆装危险有害因素分析
②修改完善文本内容
③提交成果</t>
  </si>
  <si>
    <t>钻井过程危险有害因素分析</t>
  </si>
  <si>
    <t>①根据项目所属气田从知识库获取钻井过程危险有害因素分析
②修改完善文本内容
③提交成果</t>
  </si>
  <si>
    <t>钻井测井风险</t>
  </si>
  <si>
    <t>①根据项目所属气田从知识库获取钻井测井风险
②修改完善文本内容
③提交成果</t>
  </si>
  <si>
    <t>危险区域及危险类型分布</t>
  </si>
  <si>
    <t>钻井施工不同阶段危险分布表</t>
  </si>
  <si>
    <t>项目名称
施工类型
施工阶段
事故类型
危险标志</t>
  </si>
  <si>
    <t>①从知识库获取添加钻井施工不同阶段危险分布
②修改完善表格内容
③提交成果</t>
  </si>
  <si>
    <t>井场区域布置危险分布表</t>
  </si>
  <si>
    <t>项目名称
施工类型
井场区域
事故类型
危险标志</t>
  </si>
  <si>
    <t>①从知识库获取添加井场区域布置危险分布
②修改完善表格内容
③提交成果</t>
  </si>
  <si>
    <t>定性定量分析</t>
  </si>
  <si>
    <t>危化品名称、临界量、实际存在量、厂外可能暴露人员数量</t>
  </si>
  <si>
    <t>钻井重大危险源辨识</t>
  </si>
  <si>
    <t>钻井重大危险源辨识+分级</t>
  </si>
  <si>
    <t>数据提取+计算</t>
  </si>
  <si>
    <t>①根据项目所属气田从知识库获取钻井重大危险源辨识
②修改完善文本内容
③  重大危险源识别： S=q1/Q1+q2/Q2+…+qn/Qn≥1
④重大危险源分级：R=α（β1*q1/Q1+β2*q2/Q2+···+βn*qn/Qn）；
一级 r&gt;=100
二级 100&gt;r&gt;=50
三级 50&gt;r&gt;=10
四级 r&lt;10
⑤提交成果</t>
  </si>
  <si>
    <t>《危险化学品重大危险源辨识》（GB18218）</t>
  </si>
  <si>
    <t>钻井预先危险性分析（PHA）概述</t>
  </si>
  <si>
    <t>①根据项目所属气田从知识库获取钻井预先危险性分析（PHA）概述
②修改完善文本内容
③提交成果</t>
  </si>
  <si>
    <t>预先危险性分析（PHA）步骤图</t>
  </si>
  <si>
    <t>①根据项目所属气田从知识库获取预先危险性分析（PHA）步骤图
②提交成果</t>
  </si>
  <si>
    <t>钻井作业预先危险性分析及对策措施表</t>
  </si>
  <si>
    <t>项目名称
施工类型
作业类别
危险因素
产生的原因
触发条件
事故后果
危险等级
主要安全对策措施</t>
  </si>
  <si>
    <t>①从知识库获取添加钻井作业预先危险性分析及对策措施
②修改完善表格内容
③提交成果</t>
  </si>
  <si>
    <t>录井施工作业主要危险性预先分析表</t>
  </si>
  <si>
    <t>项目名称
施工类型
作业类别
危险/意外事故
阶段名称
起因
影响
危险等级
对策</t>
  </si>
  <si>
    <t>①从知识库获取添加录井施工作业主要危险性预先分析
②修改完善表格内容
③提交成果</t>
  </si>
  <si>
    <t>测井作业危险预分析表</t>
  </si>
  <si>
    <t>①从知识库获取添加测井作业危险预分析
②修改完善表格内容
③提交成果</t>
  </si>
  <si>
    <t>固井作业危险预分析表</t>
  </si>
  <si>
    <t>①从知识库获取添加固井作业危险预分析
②修改完善表格内容
③提交成果</t>
  </si>
  <si>
    <t>下套管作业主要危险预分析表</t>
  </si>
  <si>
    <t>①从知识库获取添加下套管作业主要危险预分析
②修改完善表格内容
③提交成果</t>
  </si>
  <si>
    <t>试气作业主要危险预分析表</t>
  </si>
  <si>
    <t>①从知识库获取添加试气作业主要危险预分析数据
②修改完善表格内容
③提交成果</t>
  </si>
  <si>
    <t>重大危险源辨识分析结论</t>
  </si>
  <si>
    <t>①根据项目所属气田从知识库获取重大危险源辨识分析结论
②修改完善文本内容
③提交成果</t>
  </si>
  <si>
    <t>井喷失控事故模拟概述</t>
  </si>
  <si>
    <t>①根据项目所属气田从知识库获取井喷失控事故模拟概述
②修改完善文本内容
③提交成果</t>
  </si>
  <si>
    <t>井喷事故后果树形图</t>
  </si>
  <si>
    <t>①根据项目所属气田从知识库获取井喷事故后果树形图
②提交成果</t>
  </si>
  <si>
    <t>模拟条件</t>
  </si>
  <si>
    <t>①根据项目所属气田从知识库获取模拟条件
②修改完善文本内容
③提交成果</t>
  </si>
  <si>
    <t>地表类型及粗糙度参数表</t>
  </si>
  <si>
    <t>序号
地表类型
粗糙度</t>
  </si>
  <si>
    <t>①从知识库获取添加地表类型及粗糙度参数
②修改完善表格内容
③提交成果</t>
  </si>
  <si>
    <t>喷射燃烧</t>
  </si>
  <si>
    <t>①根据项目所属气田从知识库获取喷射燃烧
②修改完善文本内容
③提交成果</t>
  </si>
  <si>
    <t>热辐射影响表</t>
  </si>
  <si>
    <t>介质名称
介质形态
入射通量
对设备的损害
对人的损害</t>
  </si>
  <si>
    <t>①从知识库获取添加热辐射影响数据
②修改完善表格内容
③提交成果</t>
  </si>
  <si>
    <t>喷射火焰热辐射范围模拟图(A)</t>
  </si>
  <si>
    <t>①根据项目所属气田从知识库获取喷射火焰热辐射范围模拟图(A)
②提交成果</t>
  </si>
  <si>
    <t>喷射火焰热辐射范围模拟图(B)</t>
  </si>
  <si>
    <t>①根据项目所属气田从知识库获取喷射火焰热辐射范围模拟图(B)
②提交成果</t>
  </si>
  <si>
    <t>喷射燃烧计算结果</t>
  </si>
  <si>
    <t>①根据项目所属气田从知识库获取喷射燃烧计算结果
②修改完善文本内容
③提交成果</t>
  </si>
  <si>
    <t>喷射火影响范围表</t>
  </si>
  <si>
    <t>介质名称
介质形态
入射通量
影响距离</t>
  </si>
  <si>
    <t>①从知识库获取添加喷射火影响范围
②修改完善表格内容
③提交成果</t>
  </si>
  <si>
    <t>云团爆炸模拟简述</t>
  </si>
  <si>
    <t>①根据项目所属气田从知识库获取云团爆炸模拟简述
②修改完善文本内容
③提交成果</t>
  </si>
  <si>
    <t>云团爆炸模拟爆炸伤害分区及分区标准表</t>
  </si>
  <si>
    <t>介质名称
介质形态
伤害分区
分区标准描述</t>
  </si>
  <si>
    <t>①从知识库获取添加云团爆炸模拟爆炸伤害分区及分区标准
②修改完善表格内容
③提交成果</t>
  </si>
  <si>
    <t>蒸汽云影响范围模拟简述</t>
  </si>
  <si>
    <t>①根据项目所属气田从知识库获取蒸汽云影响范围模拟简述
②修改完善文本内容
③提交成果</t>
  </si>
  <si>
    <t>蒸汽云影响范围模拟图</t>
  </si>
  <si>
    <t>①根据项目所属气田从知识库获取蒸汽云影响范围模拟图
②提交成果</t>
  </si>
  <si>
    <t>天然气泄漏扩散结果及爆炸影响半径表</t>
  </si>
  <si>
    <t>介质名称
介质形态
伤害类型
对应压力
影响半径</t>
  </si>
  <si>
    <t>①从知识库获取添加天然气泄漏扩散结果及爆炸影响半径
②修改完善表格内容
③提交成果</t>
  </si>
  <si>
    <t>硫化氢扩散中毒模拟参数简述</t>
  </si>
  <si>
    <t>①根据项目所属气田从知识库获取硫化氢扩散中毒模拟参数简述
②修改完善文本内容
③提交成果</t>
  </si>
  <si>
    <t>硫化氢的危险浓度表</t>
  </si>
  <si>
    <t>介质名称
危险类型
危险浓度
依据标准</t>
  </si>
  <si>
    <t>①从知识库获取添加硫化氢的危险浓度
②修改完善表格内容
③提交成果</t>
  </si>
  <si>
    <t>不同浓度H2S影响距离图</t>
  </si>
  <si>
    <t>①根据项目所属气田从知识库获取不同浓度H2S影响距离图
②提交成果</t>
  </si>
  <si>
    <t>不同浓度H2S影响距离表</t>
  </si>
  <si>
    <t>介质名称
防喷器类型
防喷器通径
风速
介质浓度
扩散距离</t>
  </si>
  <si>
    <t>①从知识库获取添加不同浓度H2S影响距离
②修改完善表格内容
③提交成果</t>
  </si>
  <si>
    <t>硫化氢扩散模拟计算结果</t>
  </si>
  <si>
    <t>①根据项目所属气田从知识库获取硫化氢扩散模拟计算结果
②修改完善文本内容
③提交成果</t>
  </si>
  <si>
    <t>井喷失控事故模拟小结</t>
  </si>
  <si>
    <t>①根据项目所属气田从知识库获取井喷失控事故模拟小结
②修改完善文本内容
③提交成果</t>
  </si>
  <si>
    <t>井喷失控模拟计算距离要求</t>
  </si>
  <si>
    <t>①根据项目所属气田从知识库获取井喷失控模拟计算距离要求
②修改完善文本内容
③提交成果</t>
  </si>
  <si>
    <t>《安全预评价导则》、《硫化氢环境人身防护规范》SY/T 6277-2017</t>
  </si>
  <si>
    <t>井筒作业施工过程危险有害因素分析</t>
  </si>
  <si>
    <t>①根据项目所属气田从知识库获取井筒作业施工过程危险有害因素分析
②修改完善文本内容
③提交成果</t>
  </si>
  <si>
    <t>井下作业施工过程危险有害因素分析表</t>
  </si>
  <si>
    <t>项目名称
施工阶段
危害因素
危害因素描述
备注</t>
  </si>
  <si>
    <t>①从知识库获取添加井下作业施工过程危险有害因素
②修改完善表格内容
③提交成果</t>
  </si>
  <si>
    <t>射孔施工过程危险有害因素分析</t>
  </si>
  <si>
    <t>①根据项目所属气田从知识库获取射孔施工过程危险有害因素分析
②修改完善文本内容
③提交成果</t>
  </si>
  <si>
    <t>射孔与泵送桥塞施工过程危险有害因素分析表</t>
  </si>
  <si>
    <t>①从知识库获取添加射孔与泵送桥塞施工过程危险有害因素
②修改完善表格内容
③提交成果</t>
  </si>
  <si>
    <t>酸压危险有害因素分析</t>
  </si>
  <si>
    <t>①根据项目所属气田从知识库获取酸压危险有害因素分析
②修改完善文本内容
③提交成果</t>
  </si>
  <si>
    <t>压裂施工过程危险有害因素分析表</t>
  </si>
  <si>
    <t>①从知识库获取添加压裂施工过程危险有害因素
②修改完善表格内容
③提交成果</t>
  </si>
  <si>
    <t>测试危险有害因素分析</t>
  </si>
  <si>
    <t>①根据项目所属气田从知识库获取测试危险有害因素分析
②修改完善文本内容
③提交成果</t>
  </si>
  <si>
    <t>测试施工过程危险有害因素分析表</t>
  </si>
  <si>
    <t>①从知识库获取添加测试施工过程危险有害因素
②修改完善表格内容
③提交成果</t>
  </si>
  <si>
    <t>采气危险有害因素分析</t>
  </si>
  <si>
    <t>①根据项目所属气田从知识库获取采气危险有害因素分析
②修改完善文本内容
③提交成果</t>
  </si>
  <si>
    <t>采气过程危险有害因素分析表</t>
  </si>
  <si>
    <t>①从知识库获取添加采气过程危险有害因素
②修改完善表格内容
③提交成果</t>
  </si>
  <si>
    <t>危险区域及危险类型分布简述</t>
  </si>
  <si>
    <t>①根据项目所属气田从知识库获取危险区域及危险类型分布简述
②修改完善文本内容
③提交成果</t>
  </si>
  <si>
    <t>主要危险区域与危险类型分布表</t>
  </si>
  <si>
    <t>①从知识库获取添加主要危险区域与危险类型分布
②修改完善表格内容
③提交成果</t>
  </si>
  <si>
    <t>危险物质临界量表</t>
  </si>
  <si>
    <t>项目名称
物质类别
危险化学品名称
物质特性
临界量
依据标准</t>
  </si>
  <si>
    <t>①从知识库获取添加危险物质临界量数据
②修改完善表格内容
③提交成果</t>
  </si>
  <si>
    <t>《危险化学品重大危险源辨识》（GB18218）《关于开展重大危险源监督管理工作的指导意见》（安监管协调字[2004]56号）</t>
  </si>
  <si>
    <t>重大危险源辨识结果</t>
  </si>
  <si>
    <t>①根据项目所属气田从知识库获取重大危险源辨识结果
②修改完善文本内容
③提交成果</t>
  </si>
  <si>
    <t>预先危险性分析汇总表</t>
  </si>
  <si>
    <t>项目名称
施工类型
实施阶段
危险因素
可能原因
可能后果
危险等级
预防措施</t>
  </si>
  <si>
    <t>①从知识库获取添加预先危险性分析汇总数据
②修改完善表格内容
③提交成果</t>
  </si>
  <si>
    <t>预先危险性分析</t>
  </si>
  <si>
    <t>①根据项目所属气田从知识库获取预先危险性分析
②修改完善文本内容
③提交成果</t>
  </si>
  <si>
    <t>简述</t>
  </si>
  <si>
    <t>地面工程危险有害因素分析简述</t>
  </si>
  <si>
    <t>①根据项目所属气田从知识库获取地面工程危险有害因素分析简述
②修改完善文本内容
③提交成果</t>
  </si>
  <si>
    <t>公用工程及辅助生产设施危险有害因素分析</t>
  </si>
  <si>
    <t>供配电系统危险有害因素分析</t>
  </si>
  <si>
    <t>①根据项目所属气田从知识库获取供配电系统危险有害因素分析
②修改完善文本内容
③提交成果</t>
  </si>
  <si>
    <t>给排水及消防危险有害因素分析</t>
  </si>
  <si>
    <t>①根据项目所属气田从知识库获取给排水及消防危险有害因素分析
②修改完善文本内容
③提交成果</t>
  </si>
  <si>
    <t>《石油天然气工程设计防火规范》（GB50183-2004）</t>
  </si>
  <si>
    <t>仪表与自动控制危险有害因素分析</t>
  </si>
  <si>
    <t>①根据项目所属气田从知识库获取仪表与自动控制危险有害因素分析
②修改完善文本内容
③提交成果</t>
  </si>
  <si>
    <t>通信危险有害因素分析</t>
  </si>
  <si>
    <t>①根据项目所属气田从知识库获取通信危险有害因素分析
②修改完善文本内容
③提交成果</t>
  </si>
  <si>
    <t>建筑与结构危险有害因素分析</t>
  </si>
  <si>
    <t>①根据项目所属气田从知识库获取建筑与结构危险有害因素分析
②修改完善文本内容
③提交成果</t>
  </si>
  <si>
    <t>道路危险有害因素分析</t>
  </si>
  <si>
    <t>①根据项目所属气田从知识库获取道路危险有害因素分析
②修改完善文本内容
③提交成果</t>
  </si>
  <si>
    <t>防雷、防静电接地危险有害因素分析</t>
  </si>
  <si>
    <t>①根据项目所属气田从知识库获取防雷、防静电接地危险有害因素分析
②修改完善文本内容
③提交成果</t>
  </si>
  <si>
    <t>供热危险有害因素分析</t>
  </si>
  <si>
    <t>①根据项目所属气田从知识库获取供热危险有害因素分析
②修改完善文本内容
③提交成果</t>
  </si>
  <si>
    <t>供暖通风与空气调节危险有害因素分析</t>
  </si>
  <si>
    <t>①根据项目所属气田从知识库获取供暖通风与空气调节危险有害因素分析
②修改完善文本内容
③提交成果</t>
  </si>
  <si>
    <t>站场危险有害因素简述</t>
  </si>
  <si>
    <t>①根据项目所属气田从知识库获取站场危险有害因素简述
②修改完善文本内容
③提交成果</t>
  </si>
  <si>
    <t>集输管道施工过程危险有害因素分析简述</t>
  </si>
  <si>
    <t>①根据项目所属气田从知识库获取集输管道施工过程危险有害因素分析简述
②修改完善文本内容
③提交成果</t>
  </si>
  <si>
    <t>项目集输管道施工危险有害因素分析</t>
  </si>
  <si>
    <t>①根据项目所属气田从知识库获取项目集输管道施工危险有害因素分析
②修改完善文本内容
③提交成果</t>
  </si>
  <si>
    <t>地面工程施工交通事故分析</t>
  </si>
  <si>
    <t>①根据项目所属气田从知识库获取地面工程施工交通事故分析
②修改完善文本内容
③提交成果</t>
  </si>
  <si>
    <t>地面工程施工机械伤害分析</t>
  </si>
  <si>
    <t>①根据项目所属气田从知识库获取地面工程施工机械伤害分析
②修改完善文本内容
③提交成果</t>
  </si>
  <si>
    <t>地面工程施工火灾爆炸分析</t>
  </si>
  <si>
    <t>①根据项目所属气田从知识库获取地面工程施工火灾爆炸分析
②修改完善文本内容
③提交成果</t>
  </si>
  <si>
    <t>地面工程施工坍塌分析</t>
  </si>
  <si>
    <t>①根据项目所属气田从知识库获取地面工程施工坍塌分析
②修改完善文本内容
③提交成果</t>
  </si>
  <si>
    <t>地面工程施工触电分析</t>
  </si>
  <si>
    <t>①根据项目所属气田从知识库获取
②修改完善文本内容
③提交成果</t>
  </si>
  <si>
    <t>地面工程施工射线伤害分析</t>
  </si>
  <si>
    <t>①根据项目所属气田从知识库获取地面工程施工射线伤害分析
②修改完善文本内容
③提交成果</t>
  </si>
  <si>
    <t>工艺过程危险有害因素分析</t>
  </si>
  <si>
    <t>采、集气管道工艺过程危险因素分析</t>
  </si>
  <si>
    <t>①根据项目所属气田从知识库获取采、集气管道工艺过程危险因素分析
②修改完善文本内容
③提交成果</t>
  </si>
  <si>
    <t>站场工艺过程危险因素分析</t>
  </si>
  <si>
    <t>①根据项目所属气田从知识库获取站场工艺过程危险因素分析
②修改完善文本内容
③提交成果</t>
  </si>
  <si>
    <t>外输管道风险分析</t>
  </si>
  <si>
    <t>①根据项目所属气田从知识库获取外输管道风险分析
②修改完善文本内容
③提交成果</t>
  </si>
  <si>
    <t>①根据项目所属气田从知识库获取危险区域及危险类型分布
②修改完善文本内容
③提交成果</t>
  </si>
  <si>
    <t>站场主要危险区域与危险类型分布表</t>
  </si>
  <si>
    <t>项目名称
序号
生产工艺过程或系统
主要危险类型</t>
  </si>
  <si>
    <t>①从知识库获取添加站场主要危险区域与危险类型分布
②修改完善表格内容
③提交成果</t>
  </si>
  <si>
    <t>站场周边环境危险物质概况</t>
  </si>
  <si>
    <t>①根据项目所属气田从知识库获取站场周边环境危险物质概况
②修改完善文本内容
③提交成果</t>
  </si>
  <si>
    <t>不同浓度硫化氢泄漏影响距离</t>
  </si>
  <si>
    <t>①根据项目所属气田从知识库获取不同浓度硫化氢泄漏影响距离
②修改完善文本内容
③提交成果</t>
  </si>
  <si>
    <t>不同浓度硫化氢泄漏影响距离表</t>
  </si>
  <si>
    <t>①从知识库获取添加不同浓度硫化氢泄漏影响距离
②修改完善表格内容
③提交成果</t>
  </si>
  <si>
    <t>不同浓度硫化氢泄漏影响分析简述</t>
  </si>
  <si>
    <t>①根据项目所属气田从知识库获取不同浓度硫化氢泄漏影响分析简述
②修改完善文本内容
③提交成果</t>
  </si>
  <si>
    <t>本项目硫化氢影响分析结果简述</t>
  </si>
  <si>
    <t>①根据项目所属气田从知识库获取本项目硫化氢影响分析结果简述
②修改完善文本内容
③提交成果</t>
  </si>
  <si>
    <t>硫化氢安全距离分析</t>
  </si>
  <si>
    <t>①根据项目所属气田从知识库获取硫化氢安全距离分析
②修改完善文本内容
③提交成果</t>
  </si>
  <si>
    <t>总平面设计情况</t>
  </si>
  <si>
    <t>①根据项目所属气田从知识库获取总平面设计情况
②修改完善文本内容
③提交成果</t>
  </si>
  <si>
    <t>站场周边环境与总平面布置分析结论</t>
  </si>
  <si>
    <t>①根据项目所属气田从知识库获取站场周边环境与总平面布置分析结论
②修改完善文本内容
③提交成果</t>
  </si>
  <si>
    <t>脱硫站工艺装置危险分析</t>
  </si>
  <si>
    <t>①根据项目所属气田从知识库获取脱硫站工艺装置危险分析
②修改完善文本内容
③提交成果</t>
  </si>
  <si>
    <t>脱硫站工艺装置推荐方案</t>
  </si>
  <si>
    <t>①根据项目所属气田从知识库获取脱硫站工艺装置推荐方案
②修改完善文本内容
③提交成果</t>
  </si>
  <si>
    <t>脱硫站安全设施情况</t>
  </si>
  <si>
    <t>①根据项目所属气田从知识库获取脱硫站安全设施情况
②修改完善文本内容
③提交成果</t>
  </si>
  <si>
    <t>脱硫站防腐分析</t>
  </si>
  <si>
    <t>①根据项目所属气田从知识库获取脱硫站防腐分析
②修改完善文本内容
③提交成果</t>
  </si>
  <si>
    <t>脱硫站危险分析结论</t>
  </si>
  <si>
    <t>①根据项目所属气田从知识库获取脱硫站危险分析结论
②修改完善文本内容
③提交成果</t>
  </si>
  <si>
    <t>天然气集输站危险分析</t>
  </si>
  <si>
    <t>①根据项目所属气田从知识库获取天然气集输站危险分析
②修改完善文本内容
③提交成果</t>
  </si>
  <si>
    <t>气田水处理危险分析</t>
  </si>
  <si>
    <t>①根据项目所属气田从知识库获取气田水处理危险分析
②修改完善文本内容
③提交成果</t>
  </si>
  <si>
    <t>划分生产单元与储存单元</t>
  </si>
  <si>
    <t>①根据项目所属气田从知识库获取划分生产单元与储存单元
②修改完善文本内容
③提交成果</t>
  </si>
  <si>
    <t>储存单元重大危险源辨识依据</t>
  </si>
  <si>
    <t>①根据项目所属气田从知识库获取储存单元重大危险源辨识依据
②修改完善文本内容
③提交成果</t>
  </si>
  <si>
    <t>危险化学品类别及其临界量表</t>
  </si>
  <si>
    <t>站场工艺
物质类别
危险性分类及说明
临界量
依据标准</t>
  </si>
  <si>
    <t>①从知识库获取添加危险化学品类别及其临界量数据
②修改完善表格内容
③提交成果</t>
  </si>
  <si>
    <t>储存单元重大危险源辨识</t>
  </si>
  <si>
    <t>①根据项目所属气田从知识库获取储存单元重大危险源辨识
②修改完善文本内容
③提交成果</t>
  </si>
  <si>
    <t>生产单元重大危险源辨识指标算法</t>
  </si>
  <si>
    <t>①根据项目所属气田从知识库获取生产单元重大危险源辨识指标算法
②修改完善文本内容
③提交成果</t>
  </si>
  <si>
    <t>生产单元重大危险源的分级方法</t>
  </si>
  <si>
    <t>①根据项目所属气田从知识库获取生产单元重大危险源的分级方法
②修改完善文本内容
③提交成果</t>
  </si>
  <si>
    <t>生产单元危险化学品临界量表</t>
  </si>
  <si>
    <t>站场工艺
辨识物质
生产场所临界量
备注
依据标准</t>
  </si>
  <si>
    <t>①从知识库获取添加生产单元危险化学品临界量数据
②修改完善表格内容
③提交成果</t>
  </si>
  <si>
    <t>生产单元毒性气体及其他危险化学品校正系数β取值</t>
  </si>
  <si>
    <t>①根据项目所属气田从知识库获取生产单元毒性气体及其他危险化学品校正系数β取值
②修改完善文本内容
③提交成果</t>
  </si>
  <si>
    <t>生产单元毒性气体及其他危险化学品校正系数β取值表</t>
  </si>
  <si>
    <t>站场工艺
辨识物质
物质类别
校正系数
依据标准</t>
  </si>
  <si>
    <t>①从知识库获取添加生产单元毒性气体及其他危险化学品校正系数β取值
②修改完善表格内容
③提交成果</t>
  </si>
  <si>
    <t>生产单元重大危险源辨识及分级计算</t>
  </si>
  <si>
    <t>①根据项目所属气田从知识库获取生产单元重大危险源辨识及分级计算
②修改完善文本内容
③提交成果</t>
  </si>
  <si>
    <t>生产单元天然气存量计算结果表（容积）表</t>
  </si>
  <si>
    <t>项目名称
站场名称
单元名称
天然气存量-井口装置单元
天然气存量-脱硫单元
天然气存量-合计
硫化氢存量-井口装置单元
硫化氢存量-脱硫单元
硫化氢存量-合计</t>
  </si>
  <si>
    <t>生产单元天然气存量计算结果（容积）表</t>
  </si>
  <si>
    <t>①从知识库获取添加生产单元天然气存量计算结果数据
②修改完善表格内容
③提交成果</t>
  </si>
  <si>
    <t>生产单元重大危险源辨识及分级计算结论</t>
  </si>
  <si>
    <t>①根据项目所属气田从知识库获取生产单元重大危险源辨识及分级计算结论
②修改完善文本内容
③提交成果</t>
  </si>
  <si>
    <t>《危险化学品重大危险源辨识》（GB18218）、《关于开展重大危险源监督管理工作的指导意见》（安监管协调字[2004]56号）</t>
  </si>
  <si>
    <t>生产单元天然气存量计算结果（重量）及重大危险源辨识表</t>
  </si>
  <si>
    <t>项目名称
站场名称
单元名称
划分单元
天然气存量
 硫化氢存量
是否构成重大危险源</t>
  </si>
  <si>
    <t>①从知识库获取添加生产单元天然气存量计算结果（重量）及重大危险源辨识数据
②修改完善表格内容
③提交成果</t>
  </si>
  <si>
    <t>生产单元重大危险源辨识及分级结论</t>
  </si>
  <si>
    <t>①根据项目所属气田从知识库获取生产单元重大危险源辨识及分级结论
②修改完善文本内容
③提交成果</t>
  </si>
  <si>
    <t>脱硫站井口装置部分天然气存量表</t>
  </si>
  <si>
    <t>项目名称
站场名称
井台
井号
操作压力
设备编码
设备名称
管道/设备直径
单台管道/设备长度
管道/设备数量
计算体积
集气站系统内天然气存量
集气站系统内天然气存量
H2S含量
各段硫化氢气体存量
集气站系统内天然气存量
集气站系统内硫化氢气体总存量</t>
  </si>
  <si>
    <t>①从知识库获取添加脱硫站井口装置部分天然气存量数据
②修改完善表格内容
③提交成果</t>
  </si>
  <si>
    <t>脱硫站生产单元天然气存量表（SEI提供）</t>
  </si>
  <si>
    <t>项目名称
站场名称
设备编码
设备名称
内径
切线长
设备容积
气相装填系数
气相设计容积
气相实际容积</t>
  </si>
  <si>
    <t>①从知识库获取添加脱硫站生产单元天然气存量数据
②修改完善表格内容
③提交成果</t>
  </si>
  <si>
    <t>脱硫站生产单元天然气存量表（SEI提供）备注</t>
  </si>
  <si>
    <t>①根据项目所属气田从知识库获取脱硫站生产单元天然气存量表（SEI提供）备注
②修改完善文本内容
③提交成果</t>
  </si>
  <si>
    <t>安全措施方案</t>
  </si>
  <si>
    <t>钻井工程安全措施方案</t>
  </si>
  <si>
    <t>安全技术措施</t>
  </si>
  <si>
    <t>安全距离</t>
  </si>
  <si>
    <t>钻井工程安全距离概述</t>
  </si>
  <si>
    <t>①根据项目所属气田从知识库获取钻井工程安全距离概述
②修改完善文本内容
③提交成果</t>
  </si>
  <si>
    <t>钻井工程安全距离推荐</t>
  </si>
  <si>
    <t>①根据项目所属气田从知识库获取钻井工程安全距离推荐
②修改完善文本内容
③提交成果</t>
  </si>
  <si>
    <t>优化方案井台分布图</t>
  </si>
  <si>
    <t>①根据项目所属气田从知识库获取优化方案井台分布图
②提交成果</t>
  </si>
  <si>
    <t>井控措施</t>
  </si>
  <si>
    <t>钻井井控安全措施方案</t>
  </si>
  <si>
    <t>①根据项目所属气田从知识库获取钻井井控安全措施方案
②修改完善文本内容
③提交成果</t>
  </si>
  <si>
    <t>固井井控安全措施方案</t>
  </si>
  <si>
    <t>①根据项目所属气田从知识库获取固井井控安全措施方案
②修改完善文本内容
③提交成果</t>
  </si>
  <si>
    <t>测录井控安全措施方案</t>
  </si>
  <si>
    <t>①根据项目所属气田从知识库获取测录井控安全措施方案
②修改完善文本内容
③提交成果</t>
  </si>
  <si>
    <t>防火、防爆措施</t>
  </si>
  <si>
    <t>防火、防爆安全措施方案</t>
  </si>
  <si>
    <t>①根据项目所属气田从知识库获取防火、防爆安全措施方案
②修改完善文本内容
③提交成果</t>
  </si>
  <si>
    <t>《石油天然气钻井、开发、储运防火防爆安全生产技术规程》</t>
  </si>
  <si>
    <t>防中毒措施</t>
  </si>
  <si>
    <t>防中毒安全措施方案</t>
  </si>
  <si>
    <t>①根据项目所属气田从知识库获取防中毒安全措施方案
②修改完善文本内容
③提交成果</t>
  </si>
  <si>
    <t>《硫化氢环境钻井场所作业安全规范》SY/T 5087-2017</t>
  </si>
  <si>
    <t>防范其他危险有害因素的措施</t>
  </si>
  <si>
    <t>防碰要求安全措施方案</t>
  </si>
  <si>
    <t>①根据项目所属气田从知识库获取防碰要求安全措施方案
②修改完善文本内容
③提交成果</t>
  </si>
  <si>
    <t>钻完井优化措施方案</t>
  </si>
  <si>
    <t>①根据项目所属气田从知识库获取钻完井优化措施方案
②修改完善文本内容
③提交成果</t>
  </si>
  <si>
    <t>弃井要求</t>
  </si>
  <si>
    <t>弃井要求安全措施方案</t>
  </si>
  <si>
    <t>①根据项目所属气田从知识库获取弃井要求安全措施方案
②修改完善文本内容
③提交成果</t>
  </si>
  <si>
    <t>安全管理措施</t>
  </si>
  <si>
    <t>资质与定员</t>
  </si>
  <si>
    <t>钻井工程资质与定员安全管理措施</t>
  </si>
  <si>
    <t>①根据项目所属气田从知识库获取钻井工程资质与定员安全管理措施
②修改完善文本内容
③提交成果</t>
  </si>
  <si>
    <t>管理措施</t>
  </si>
  <si>
    <t>钻井工程管理措施方案</t>
  </si>
  <si>
    <t>①根据项目所属气田从知识库获取钻井工程管理措施方案
②修改完善文本内容
③提交成果</t>
  </si>
  <si>
    <t>培训教育</t>
  </si>
  <si>
    <t>钻井工程培训教育安全管理措施</t>
  </si>
  <si>
    <t>①根据项目所属气田从知识库获取钻井工程培训教育安全管理措施
②修改完善文本内容
③提交成果</t>
  </si>
  <si>
    <t>检查验收</t>
  </si>
  <si>
    <t>钻井工程检查验收安全管理措施</t>
  </si>
  <si>
    <t>①根据项目所属气田从知识库获取钻井工程检查验收安全管理措施
②修改完善文本内容
③提交成果</t>
  </si>
  <si>
    <t>交叉作业</t>
  </si>
  <si>
    <t>钻井工程交叉作业安全管理措施</t>
  </si>
  <si>
    <t>①根据项目所属气田从知识库获取钻井工程交叉作业安全管理措施
②修改完善文本内容
③提交成果</t>
  </si>
  <si>
    <t>危险告知</t>
  </si>
  <si>
    <t>钻井工程危险告知安全管理措施</t>
  </si>
  <si>
    <t>①根据项目所属气田从知识库获取钻井工程危险告知安全管理措施
②修改完善文本内容
③提交成果</t>
  </si>
  <si>
    <t>应急措施</t>
  </si>
  <si>
    <t>基本要求</t>
  </si>
  <si>
    <t>钻井工程应急措施基本要求</t>
  </si>
  <si>
    <t>①根据项目所属气田从知识库获取钻井工程应急措施基本要求
②修改完善文本内容
③提交成果</t>
  </si>
  <si>
    <t>气井点火程序及条件</t>
  </si>
  <si>
    <t>钻井工程气井点火程序及条件</t>
  </si>
  <si>
    <t>①根据项目所属气田从知识库获取钻井工程气井点火程序及条件
②修改完善文本内容
③提交成果</t>
  </si>
  <si>
    <t>培训和演习</t>
  </si>
  <si>
    <t>钻井工程应急措施培训和演习</t>
  </si>
  <si>
    <t>①根据项目所属气田从知识库获取钻井工程应急措施培训和演习
②修改完善文本内容
③提交成果</t>
  </si>
  <si>
    <t>应急预案的更新</t>
  </si>
  <si>
    <t>钻井工程应急预案的更新</t>
  </si>
  <si>
    <t>①根据项目所属气田从知识库获取钻井工程应急预案的更新
②修改完善文本内容
③提交成果</t>
  </si>
  <si>
    <t>钻井工程重大风险及其控制措施</t>
  </si>
  <si>
    <t>钻井工程重大风险及其控制应急措施概述</t>
  </si>
  <si>
    <t>①根据项目所属气田从知识库获取钻井工程重大风险及其控制应急措施概述
②修改完善文本内容
③提交成果</t>
  </si>
  <si>
    <t>本项目钻井工程重大风险及其控制措施</t>
  </si>
  <si>
    <t>①根据项目所属气田从知识库获取本项目钻井工程重大风险及其控制措施
②修改完善文本内容
③提交成果</t>
  </si>
  <si>
    <t>采气工程安全措施方案</t>
  </si>
  <si>
    <t>采气工程安全距离措施</t>
  </si>
  <si>
    <t>①根据项目所属气田从知识库获取采气工程安全距离措施
②修改完善文本内容
③提交成果</t>
  </si>
  <si>
    <t>本项目采气工程施工方式</t>
  </si>
  <si>
    <t>①根据项目所属气田从知识库获取本项目采气工程施工方式
②修改完善文本内容
③提交成果</t>
  </si>
  <si>
    <t>采气工程射孔井控措施</t>
  </si>
  <si>
    <t>①根据项目所属气田从知识库获取采气工程射孔井控措施
②修改完善文本内容
③提交成果</t>
  </si>
  <si>
    <t>采气工程压裂井控措施</t>
  </si>
  <si>
    <t>①根据项目所属气田从知识库获取采气工程压裂井控措施
②修改完善文本内容
③提交成果</t>
  </si>
  <si>
    <t>采气工程试气井控措施</t>
  </si>
  <si>
    <t>①根据项目所属气田从知识库获取采气工程试气井控措施
②修改完善文本内容
③提交成果</t>
  </si>
  <si>
    <t>采气井控措施</t>
  </si>
  <si>
    <t>①根据项目所属气田从知识库获取采气井控措施
②修改完善文本内容
③提交成果</t>
  </si>
  <si>
    <t>采气工程井下安全装置</t>
  </si>
  <si>
    <t>①根据项目所属气田从知识库获取采气工程井下安全装置
②修改完善文本内容
③提交成果</t>
  </si>
  <si>
    <t>防火防爆措施</t>
  </si>
  <si>
    <t>采气工程电气线路、设备防爆要求</t>
  </si>
  <si>
    <t>①根据项目所属气田从知识库获取采气工程电气线路、设备防爆要求
②修改完善文本内容
③提交成果</t>
  </si>
  <si>
    <t>采气工程消防设施及其它要求</t>
  </si>
  <si>
    <t>①根据项目所属气田从知识库获取采气工程消防设施及其它要求
②修改完善文本内容
③提交成果</t>
  </si>
  <si>
    <t>采气工程安全警示标志要求</t>
  </si>
  <si>
    <t>①根据项目所属气田从知识库获取采气工程安全警示标志要求
②修改完善文本内容
③提交成果</t>
  </si>
  <si>
    <t>本项目采气工程安全警示标志要求</t>
  </si>
  <si>
    <t>①根据项目所属气田从知识库获取本项目采气工程安全警示标志要求
②修改完善文本内容
③提交成果</t>
  </si>
  <si>
    <t>采气工程防中毒措施</t>
  </si>
  <si>
    <t>①根据项目所属气田从知识库获取采气工程防中毒措施
②修改完善文本内容
③提交成果</t>
  </si>
  <si>
    <t>废弃井处置</t>
  </si>
  <si>
    <t>废弃井处置措施</t>
  </si>
  <si>
    <t>①根据项目所属气田从知识库获取废弃井处置措施
②修改完善文本内容
③提交成果</t>
  </si>
  <si>
    <t>采气工程火工器材、放射源的管理措施</t>
  </si>
  <si>
    <t>①根据项目所属气田从知识库获取采气工程火工器材、放射源的管理措施
②修改完善文本内容
③提交成果</t>
  </si>
  <si>
    <t>采气工程环空带压的技术措施</t>
  </si>
  <si>
    <t>①根据项目所属气田从知识库获取采气工程环空带压的技术措施
②修改完善文本内容
③提交成果</t>
  </si>
  <si>
    <t>采气工程防范其他危险有害因素的措施</t>
  </si>
  <si>
    <t>①根据项目所属气田从知识库获取采气工程防范其他危险有害因素的措施
②修改完善文本内容
③提交成果</t>
  </si>
  <si>
    <t>采气工程资质与定员安全管理措施</t>
  </si>
  <si>
    <t>①根据项目所属气田从知识库获取采气工程资质与定员安全管理措施
②修改完善文本内容
③提交成果</t>
  </si>
  <si>
    <t>采气工程管理措施方案</t>
  </si>
  <si>
    <t>①根据项目所属气田从知识库获取采气工程管理措施方案
②修改完善文本内容
③提交成果</t>
  </si>
  <si>
    <t>采气工程培训教育安全管理措施</t>
  </si>
  <si>
    <t>①根据项目所属气田从知识库获取采气工程培训教育安全管理措施
②修改完善文本内容
③提交成果</t>
  </si>
  <si>
    <t>采气工程开工验收安全管理措施</t>
  </si>
  <si>
    <t>①根据项目所属气田从知识库获取采气工程开工验收安全管理措施
②修改完善文本内容
③提交成果</t>
  </si>
  <si>
    <t>采气工程交叉作业安全管理措施</t>
  </si>
  <si>
    <t>①根据项目所属气田从知识库获取采气工程交叉作业安全管理措施
②修改完善文本内容
③提交成果</t>
  </si>
  <si>
    <t>采气工程危险告知安全管理措施</t>
  </si>
  <si>
    <t>①根据项目所属气田从知识库获取采气工程危险告知安全管理措施
②修改完善文本内容
③提交成果</t>
  </si>
  <si>
    <t>采气工程化学试剂管理措施</t>
  </si>
  <si>
    <t>①根据项目所属气田从知识库获取采气工程化学试剂管理措施
②修改完善文本内容
③提交成果</t>
  </si>
  <si>
    <t>采气工程重大风险及其控制措施</t>
  </si>
  <si>
    <t>①根据项目所属气田从知识库获取采气工程重大风险及其控制措施
②修改完善文本内容
③提交成果</t>
  </si>
  <si>
    <t>采气工程重大风险及其控制措施一览表</t>
  </si>
  <si>
    <t>项目名称
施工类型
重大风险名称
控制措施
备注</t>
  </si>
  <si>
    <t>①从知识库获取添加采气工程重大风险及其控制措施
②修改完善表格内容
③提交成果</t>
  </si>
  <si>
    <t>地面工程安全措施方案</t>
  </si>
  <si>
    <t>选址及总平面布置</t>
  </si>
  <si>
    <t>选址及总平面布置概况</t>
  </si>
  <si>
    <t>①根据项目所属气田从知识库获取选址及总平面布置概况
②修改完善文本内容
③提交成果</t>
  </si>
  <si>
    <t>自动控制和紧急停车（截断）系统防火防爆措施</t>
  </si>
  <si>
    <t>①根据项目所属气田从知识库获取自动控制和紧急停车（截断）系统防火防爆措施
②修改完善文本内容
③提交成果</t>
  </si>
  <si>
    <t>地面工程火气探测系统防火防爆措施</t>
  </si>
  <si>
    <t>①根据项目所属气田从知识库获取地面工程火气探测系统防火防爆措施
②修改完善文本内容
③提交成果</t>
  </si>
  <si>
    <t>地面工程设备和管道的防腐</t>
  </si>
  <si>
    <t>①根据项目所属气田从知识库获取地面工程设备和管道的防腐
②修改完善文本内容
③提交成果</t>
  </si>
  <si>
    <t>地面工程建（构）筑物防火防爆措施</t>
  </si>
  <si>
    <t>①根据项目所属气田从知识库获取地面工程建（构）筑物防火防爆措施
②修改完善文本内容
③提交成果</t>
  </si>
  <si>
    <t>地面工程电气设备防火防爆措施</t>
  </si>
  <si>
    <t>①根据项目所属气田从知识库获取地面工程电气设备防火防爆措施
②修改完善文本内容
③提交成果</t>
  </si>
  <si>
    <t>地面工程防雷、防静电</t>
  </si>
  <si>
    <t>①根据项目所属气田从知识库获取地面工程防雷、防静电
②修改完善文本内容
③提交成果</t>
  </si>
  <si>
    <t>地面工程应急电源及应急照明</t>
  </si>
  <si>
    <t>①根据项目所属气田从知识库获取地面工程应急电源及应急照明
②修改完善文本内容
③提交成果</t>
  </si>
  <si>
    <t>地面工程通风设施</t>
  </si>
  <si>
    <t>①根据项目所属气田从知识库获取地面工程通风设施
②修改完善文本内容
③提交成果</t>
  </si>
  <si>
    <t>地面工程安全泄放防火防爆措施</t>
  </si>
  <si>
    <t>①根据项目所属气田从知识库获取地面工程安全泄放防火防爆措施
②修改完善文本内容
③提交成果</t>
  </si>
  <si>
    <t>地面工程消防</t>
  </si>
  <si>
    <t>①根据项目所属气田从知识库获取地面工程消防
②修改完善文本内容
③提交成果</t>
  </si>
  <si>
    <t>地面工程其它防火防爆安全措施</t>
  </si>
  <si>
    <t>①根据项目所属气田从知识库获取地面工程其它防火防爆安全措施
②修改完善文本内容
③提交成果</t>
  </si>
  <si>
    <t>防中毒、防化学伤害的安全措施</t>
  </si>
  <si>
    <t>地面工程H2S防护措施</t>
  </si>
  <si>
    <t>①根据项目所属气田从知识库获取地面工程H2S防护措施
②修改完善文本内容
③提交成果</t>
  </si>
  <si>
    <t>地面工程甲醇防护措施</t>
  </si>
  <si>
    <t>①根据项目所属气田从知识库获取地面工程甲醇防护措施
②修改完善文本内容
③提交成果</t>
  </si>
  <si>
    <t>防范其他危险有害因素的安全措施</t>
  </si>
  <si>
    <t>地面工程防范其他危险有害因素的安全措施</t>
  </si>
  <si>
    <t>①根据项目所属气田从知识库获取地面工程防范其他危险有害因素的安全措施
②修改完善文本内容
③提交成果</t>
  </si>
  <si>
    <t>人员逃生和救生</t>
  </si>
  <si>
    <t>地面工程人员逃生和救生</t>
  </si>
  <si>
    <t>①根据项目所属气田从知识库获取地面工程人员逃生和救生
②修改完善文本内容
③提交成果</t>
  </si>
  <si>
    <t>管道高后果区对策措施</t>
  </si>
  <si>
    <t>地面工程管道高后果区对策措施</t>
  </si>
  <si>
    <t>①根据项目所属气田从知识库获取地面工程管道高后果区对策措施
②修改完善文本内容
③提交成果</t>
  </si>
  <si>
    <t>地面工程资质与定员安全管理措施</t>
  </si>
  <si>
    <t>①根据项目所属气田从知识库获取地面工程资质与定员安全管理措施
②修改完善文本内容
③提交成果</t>
  </si>
  <si>
    <t>地面工程管理措施方案</t>
  </si>
  <si>
    <t>①根据项目所属气田从知识库获取地面工程管理措施方案
②修改完善文本内容
③提交成果</t>
  </si>
  <si>
    <t>地面工程培训教育安全管理措施</t>
  </si>
  <si>
    <t>①根据项目所属气田从知识库获取地面工程培训教育安全管理措施
②修改完善文本内容
③提交成果</t>
  </si>
  <si>
    <t>地面工程危险告知安全管理措施</t>
  </si>
  <si>
    <t>①根据项目所属气田从知识库获取地面工程危险告知安全管理措施
②修改完善文本内容
③提交成果</t>
  </si>
  <si>
    <t>化学试剂管理</t>
  </si>
  <si>
    <t>地面工程化学试剂管理措施</t>
  </si>
  <si>
    <t>①根据项目所属气田从知识库获取地面工程化学试剂管理措施
②修改完善文本内容
③提交成果</t>
  </si>
  <si>
    <t>危险品管理</t>
  </si>
  <si>
    <t>地面工程危险品管理措施</t>
  </si>
  <si>
    <t>①根据项目所属气田从知识库获取地面工程危险品管理措施
②修改完善文本内容
③提交成果</t>
  </si>
  <si>
    <t>重大危险源的管理</t>
  </si>
  <si>
    <t>地面工程重大危险源的管理措施</t>
  </si>
  <si>
    <t>①根据项目所属气田从知识库获取地面工程重大危险源的管理措施
②修改完善文本内容
③提交成果</t>
  </si>
  <si>
    <t>地面工程安全应急措施</t>
  </si>
  <si>
    <t>①根据项目所属气田从知识库获取地面工程安全应急措施
②修改完善文本内容
③提交成果</t>
  </si>
  <si>
    <t>安全工程投资估算</t>
  </si>
  <si>
    <t>投资估算综述</t>
  </si>
  <si>
    <t>安全工程投资估算综述</t>
  </si>
  <si>
    <t>①根据项目所属气田从知识库获取安全工程投资估算综述
②修改完善文本内容
③提交成果</t>
  </si>
  <si>
    <t>安全投资估算表</t>
  </si>
  <si>
    <t>项目名称
序号
施工类型或专业
安全投资</t>
  </si>
  <si>
    <t>①从知识库获取添加安全投资估算数据
②修改完善表格内容
③提交成果</t>
  </si>
  <si>
    <t>钻井工程安全投资估算</t>
  </si>
  <si>
    <t>钻井工程安全投资估算综述</t>
  </si>
  <si>
    <t>①根据项目所属气田从知识库获取钻井工程安全投资估算综述
②修改完善文本内容
③提交成果</t>
  </si>
  <si>
    <t>钻井工程安全投资表</t>
  </si>
  <si>
    <t>项目名称
安全设备设施名称
单位
数量
投资</t>
  </si>
  <si>
    <t>①从知识库获取添加钻井工程安全投资数据
②修改完善表格内容
③提交成果</t>
  </si>
  <si>
    <t>采气工程安全投资估算</t>
  </si>
  <si>
    <t>采气工程安全投资估算综述</t>
  </si>
  <si>
    <t>①根据项目所属气田从知识库获取采气工程安全投资估算综述
②修改完善文本内容
③提交成果</t>
  </si>
  <si>
    <t>采气工程安全投资表</t>
  </si>
  <si>
    <t>①从知识库获取添加采气工程安全投资数据
②修改完善表格内容
③提交成果</t>
  </si>
  <si>
    <t>地面工程安全投资估算</t>
  </si>
  <si>
    <t>地面工程安全投资估算综述</t>
  </si>
  <si>
    <t>①根据项目所属气田从知识库获取地面工程安全投资估算综述
②修改完善文本内容
③提交成果</t>
  </si>
  <si>
    <t>地面工程安全投资表</t>
  </si>
  <si>
    <t>①从知识库获取添加地面工程安全投资数据
②修改完善表格内容
③提交成果</t>
  </si>
  <si>
    <t>结论及建议</t>
  </si>
  <si>
    <t>结论</t>
  </si>
  <si>
    <t>结论概述</t>
  </si>
  <si>
    <t>①根据项目所属气田从知识库获取结论概述
②修改完善文本内容
③提交成果</t>
  </si>
  <si>
    <t>本项目主要危险有害因素结论综述</t>
  </si>
  <si>
    <t>①根据项目所属气田从知识库获取本项目主要危险有害因素结论综述
②修改完善文本内容
③提交成果</t>
  </si>
  <si>
    <t>钻井、采气单元分析结论综述</t>
  </si>
  <si>
    <t>①根据项目所属气田从知识库获取钻井、采气单元分析结论综述
②修改完善文本内容
③提交成果</t>
  </si>
  <si>
    <t>地面工程单元距离分析结论综述</t>
  </si>
  <si>
    <t>①根据项目所属气田从知识库获取地面工程单元距离分析结论综述
②修改完善文本内容
③提交成果</t>
  </si>
  <si>
    <t>地面工程单元站场集输分析结论综述</t>
  </si>
  <si>
    <t>①根据项目所属气田从知识库获取地面工程单元站场集输分析结论综述
②修改完善文本内容
③提交成果</t>
  </si>
  <si>
    <t>公用工程单元分析结论综述</t>
  </si>
  <si>
    <t>①根据项目所属气田从知识库获取公用工程单元分析结论综述
②修改完善文本内容
③提交成果</t>
  </si>
  <si>
    <t>应急管理单元分析结论综述</t>
  </si>
  <si>
    <t>①根据项目所属气田从知识库获取应急管理单元分析结论综述
②修改完善文本内容
③提交成果</t>
  </si>
  <si>
    <t>治安反恐分析结论综述</t>
  </si>
  <si>
    <t>①根据项目所属气田从知识库获取治安反恐分析结论综述
②修改完善文本内容
③提交成果</t>
  </si>
  <si>
    <t>职业卫生管理分析结论综述</t>
  </si>
  <si>
    <t>①根据项目所属气田从知识库获取职业卫生管理分析结论综述
②修改完善文本内容
③提交成果</t>
  </si>
  <si>
    <t>建议</t>
  </si>
  <si>
    <t>①根据项目所属气田从知识库获取建议描述
②修改完善文本内容
③提交成果</t>
  </si>
  <si>
    <t>环保工程</t>
  </si>
  <si>
    <t>国家环保法律、法规、规章</t>
  </si>
  <si>
    <t>①初始化显示通用的国家环保法律、法规、规章
②按需可从知识库提取
③修改完善文本内容
④提交成果</t>
  </si>
  <si>
    <t>地方环保法规、规章</t>
  </si>
  <si>
    <t>①初始化显示通用的地方环保法规、规章
②按需可从知识库提取
③修改完善文本内容
④提交成果</t>
  </si>
  <si>
    <t>国家标准</t>
  </si>
  <si>
    <t>地方标准</t>
  </si>
  <si>
    <t>行业标准、规范、规程</t>
  </si>
  <si>
    <t>企业标准、规范、规程</t>
  </si>
  <si>
    <t>环境概况</t>
  </si>
  <si>
    <t>地理位置</t>
  </si>
  <si>
    <t>地理位置图</t>
  </si>
  <si>
    <t>①根据项目所属气田从知识库获取地理位置图
②提交成果</t>
  </si>
  <si>
    <t>气象信息</t>
  </si>
  <si>
    <t>气象信息表</t>
  </si>
  <si>
    <t>项目名称、气象项目、计量单位、要素值</t>
  </si>
  <si>
    <t>①根据项目所属气田从知识库获取所在地区气象信息表
②修改完善表格内容
③提交成果</t>
  </si>
  <si>
    <t>项目所在城市水文描述</t>
  </si>
  <si>
    <t>项目区水系图</t>
  </si>
  <si>
    <t>①根据项目所属气田从知识库获取项目区水系图
②提交成果</t>
  </si>
  <si>
    <t>项目水文描述</t>
  </si>
  <si>
    <t>地层岩性信息</t>
  </si>
  <si>
    <t>地震信息</t>
  </si>
  <si>
    <t>野生动植物信息</t>
  </si>
  <si>
    <t>土壤信息</t>
  </si>
  <si>
    <t>社会环境概况</t>
  </si>
  <si>
    <t>人口概况</t>
  </si>
  <si>
    <t>工业概况</t>
  </si>
  <si>
    <t>农业概况</t>
  </si>
  <si>
    <t>交通运输概况</t>
  </si>
  <si>
    <t>土地利用概况</t>
  </si>
  <si>
    <t>环境敏感保护目标</t>
  </si>
  <si>
    <t>项目所在地应执行的国家、地方标准</t>
  </si>
  <si>
    <t>生态保护红线概况</t>
  </si>
  <si>
    <t>项目所在区域生态红线分布图</t>
  </si>
  <si>
    <t>①根据项目所属气田从知识库获取项目所在区域生态红线分布图
②提交成果</t>
  </si>
  <si>
    <t>饮用水源保护区概况</t>
  </si>
  <si>
    <t>项目涉及的饮用水源分布图</t>
  </si>
  <si>
    <t>①根据项目所属气田从知识库获取项目涉及的饮用水源分布图
②提交成果</t>
  </si>
  <si>
    <t>自然保护区概况</t>
  </si>
  <si>
    <t>项目与自然保护区位置关系示意图</t>
  </si>
  <si>
    <t>①根据项目所属气田从知识库获取项目与自然保护区位置关系示意图
②提交成果</t>
  </si>
  <si>
    <t>其他环境敏感区概况</t>
  </si>
  <si>
    <t>周边环境敏感目标分布图</t>
  </si>
  <si>
    <t>①根据项目所属气田从知识库获取周边环境敏感目标分布图
②提交成果</t>
  </si>
  <si>
    <t>其它环境敏感区信息表</t>
  </si>
  <si>
    <t>项目名称、
环境敏感区名称、
环境敏感区类别、
环境敏感区级别、
环境敏感区位置、
环境敏感区相对位置参照点、
环境敏感区相对位置方位、
环境敏感区相对位置距离</t>
  </si>
  <si>
    <t>①根据项目所属气田从知识库获取其它环境敏感区信息表
②修改完善表格内容
③提交成果</t>
  </si>
  <si>
    <t>外输管道周边敏感区域概况</t>
  </si>
  <si>
    <t>管道沿线200m范围内环境保护目标统计表</t>
  </si>
  <si>
    <t>项目名称、
环境敏感区类别、
环境敏感区所在地、
环境敏感区规模、
与本项目最近位置关系</t>
  </si>
  <si>
    <t>①根据项目所属气田从知识库获取管道沿线200m范围内环境保护目标统计表
②修改完善表格内容
③提交成果</t>
  </si>
  <si>
    <t>环保管理要求</t>
  </si>
  <si>
    <t>大气环境功能区划概况</t>
  </si>
  <si>
    <t>《环境空气质量标准》（GB3095-2012）</t>
  </si>
  <si>
    <t>地表水环境功能区划概况</t>
  </si>
  <si>
    <t>声环境功能区划概况</t>
  </si>
  <si>
    <t>《声环境质量标准》（GB3096-2008）</t>
  </si>
  <si>
    <t>地下水环境功能区划概况</t>
  </si>
  <si>
    <t>《地下水质量标准》（GB/T14848—2017）</t>
  </si>
  <si>
    <t>土壤环境功能区划概况</t>
  </si>
  <si>
    <t>《土壤环境质量 农用地土壤污染风险管控标准（试行）》（GB15618-2018）</t>
  </si>
  <si>
    <t>生态功能区划概况</t>
  </si>
  <si>
    <t>环境空气质量标准</t>
  </si>
  <si>
    <t>环境空气质量标准数据表</t>
  </si>
  <si>
    <t>①根据项目所属气田从知识库获取环境空气质量标准数据表
②修改完善表格内容
③提交成果</t>
  </si>
  <si>
    <t>地表水质量标准</t>
  </si>
  <si>
    <t>《地表水环境质量标准》（GB3838-2002）</t>
  </si>
  <si>
    <t>地表水环境质量标准限值表</t>
  </si>
  <si>
    <t>项目名称、
污染物执行标准、
pH值限值、
CODCr限值、
石油类、
BOD5、
六价铬、
NH3-N、
硫化物</t>
  </si>
  <si>
    <t>①根据项目所属气田从知识库获取地表水环境质量标准限值表
②修改完善表格内容
③提交成果</t>
  </si>
  <si>
    <t>地下水质量标准</t>
  </si>
  <si>
    <t>《地下水质量标准》（GB/T14848-2017）中Ⅲ类水质标准，其限值见地下水质量标准限值（Ⅲ类）表。石油类参照《生活饮用水卫生标准》（GB5749-2006）</t>
  </si>
  <si>
    <t>地下水质量标准限值（Ⅲ类）表</t>
  </si>
  <si>
    <t>项目名称、
污染物名称、
污染物执行标准、
限值</t>
  </si>
  <si>
    <t>①根据项目所属气田从知识库获取地下水质量标准限值（Ⅲ类）表
②修改完善表格内容
③提交成果</t>
  </si>
  <si>
    <t>声环境质量标准</t>
  </si>
  <si>
    <t>《声环境质量标准》（GB3096-2008）中的2类声环境功能区环境噪声限值，其限值见环境噪声标准限值（2类）表（单位：dB（A））</t>
  </si>
  <si>
    <t>环境噪声标准限值（2类）表</t>
  </si>
  <si>
    <t>项目名称
执行标准
昼间噪声标准值
夜间噪声标准值</t>
  </si>
  <si>
    <t>①根据项目所属气田从知识库获取环境噪声标准限值（2类）表
②修改完善表格内容
③提交成果</t>
  </si>
  <si>
    <t>土壤环境质量标准</t>
  </si>
  <si>
    <t>《土壤环境质量 建设用地土壤污染风险管控标准（试行）》（GB36600-2018）中第二类用地标准，农用地执行《土壤环境质量 农用地土壤污染风险管控标准（试行）》（GB 15618—2018），具体限值见土壤环境质量标准表</t>
  </si>
  <si>
    <t>建筑用地土壤环境质量标准表</t>
  </si>
  <si>
    <t>项目名称
项目
土地类别
筛选值
管控值</t>
  </si>
  <si>
    <t>①根据项目所属气田从知识库获取建筑用地土壤环境质量标准表
②修改完善表格内容
③提交成果</t>
  </si>
  <si>
    <t>《土壤环境质量 建设用地土壤污染风险管控标准（试行）》（GB36600-2018）中第二类用地标准</t>
  </si>
  <si>
    <t>农业用地土壤环境质量标准风险筛选信息表</t>
  </si>
  <si>
    <t>项目名称
土壤污染物
田地类型
pH≤5.5风险筛选值
5.5＜pH≤6.5风险筛选值
6.5＜pH≤7.5风险筛选值
pH＞7.5风险筛选值</t>
  </si>
  <si>
    <t>①根据项目所属气田从知识库获取农业用地土壤环境质量标准风险筛选信息表
②修改完善表格内容
③提交成果</t>
  </si>
  <si>
    <t>农用地执行《土壤环境质量 农用地土壤污染风险管控标准（试行）》（GB 15618—2018）</t>
  </si>
  <si>
    <t>农业用地土壤环境质量标准风险管控信息表</t>
  </si>
  <si>
    <t>项目名称
土壤污染物
田地类型
pH≤5.5风险管控值
5.5＜pH≤6.5风险管控值
6.5＜pH≤7.5风险管控值
pH＞7.5风险管控值</t>
  </si>
  <si>
    <t>①根据项目所属气田从知识库获取农业用地土壤环境质量标准风险管控信息表
②修改完善表格内容
③提交成果</t>
  </si>
  <si>
    <t>农用地执行《土壤环境质量 农用地土壤污染风险管控标准（试行）》（GB 15618—2018），具体限值见土壤环境质量标准表</t>
  </si>
  <si>
    <t>污染物排放标准</t>
  </si>
  <si>
    <t>大气污染物排放标准</t>
  </si>
  <si>
    <t>大气污染物综合排放标准限值表</t>
  </si>
  <si>
    <t xml:space="preserve">项目名称
大气污染物
最高允许排放浓度
排气筒高度
最高允许排放速率
无组织排放监控点
监控浓度
</t>
  </si>
  <si>
    <t>①根据项目所属气田从知识库获取大气污染物综合排放标准限值表
②修改完善表格内容
③提交成果</t>
  </si>
  <si>
    <t>恶臭污染物排放标准表</t>
  </si>
  <si>
    <t>项目名称
恶臭物名称
厂界标准</t>
  </si>
  <si>
    <t>①根据项目所属气田从知识库获取恶臭污染物排放标准表
②修改完善表格内容
③提交成果</t>
  </si>
  <si>
    <t>新建锅炉大气污染物排放标准表</t>
  </si>
  <si>
    <t>项目名称
锅炉类别
污染物名称
浓度限值
污染物排放监控位置</t>
  </si>
  <si>
    <t>①根据项目所属气田从知识库获取新建锅炉大气污染物排放标准表
②修改完善表格内容
③提交成果</t>
  </si>
  <si>
    <t>废水排放标准</t>
  </si>
  <si>
    <t>《污水综合排放标准》（GB8978-1996）</t>
  </si>
  <si>
    <t>生活污水排放标准表</t>
  </si>
  <si>
    <t>项目名称
污染物名称
标准值</t>
  </si>
  <si>
    <t>①根据项目所属气田从知识库获取生活污水排放标准表
②修改完善表格内容
③提交成果</t>
  </si>
  <si>
    <t>噪声标准</t>
  </si>
  <si>
    <t>施工期间执行《建筑施工场界环境噪声限值》（GB12523-2011）；运营期噪声执行《工业企业厂界环境噪声排放标准》（GB12348-2008）中的2类标准</t>
  </si>
  <si>
    <t>工程环境噪声排放限值表</t>
  </si>
  <si>
    <t xml:space="preserve">项目名称
项目时期
标准类别
昼间噪声标准值
夜间噪声标准值
</t>
  </si>
  <si>
    <t>①根据项目所属气田从知识库获取工程环境噪声排放限值表
②修改完善表格内容
③提交成果</t>
  </si>
  <si>
    <t>固体废物排放标准</t>
  </si>
  <si>
    <t>《一般工业固体废物贮存、处置场污染控制标准》（GB18599-2001）和《危险废物贮存污染控制标准》（GB18597-2001）及其修改单中有关规定</t>
  </si>
  <si>
    <t>主要环境问题</t>
  </si>
  <si>
    <t>主要环境问题概况</t>
  </si>
  <si>
    <t>工程概况</t>
  </si>
  <si>
    <t>地质特征概况</t>
  </si>
  <si>
    <t>气藏工程设计概况</t>
  </si>
  <si>
    <t>开发井部署情况一览表</t>
  </si>
  <si>
    <t>项目名称
井名
所属井台
井台井数
单井配产
井台日产水平
井台新建产能
备注</t>
  </si>
  <si>
    <t>①根据项目从气藏工程获取开发井部署情况一览表
②修改完善表格内容
③提交成果</t>
  </si>
  <si>
    <t>钻前工程概况</t>
  </si>
  <si>
    <t>钻井过程井身结构概况</t>
  </si>
  <si>
    <t>井身结构推荐方案表</t>
  </si>
  <si>
    <t>项目名称
井名
开钻程序
钻头程序-井眼尺寸
钻头程序-万钻深度
套管程序-尺寸
套管程序-下入井段
备注</t>
  </si>
  <si>
    <t>①根据项目从钻井工程获取井身结构推荐方案表
②修改完善表格内容
③提交成果</t>
  </si>
  <si>
    <t>钻井过程钻井液概况</t>
  </si>
  <si>
    <t>分段钻井液类型表</t>
  </si>
  <si>
    <t>项目名称
井名
开次代码
钻头尺寸
井段-起
井段-止
钻井液体系
钻井液类型</t>
  </si>
  <si>
    <t>①根据项目从钻井工程获取分段钻井液类型表
③提交成果</t>
  </si>
  <si>
    <t>钻井过程主要设备概况</t>
  </si>
  <si>
    <t>项目名称
井名
套管程序
水泥浆体系
固井方式</t>
  </si>
  <si>
    <t>①根据项目从钻井工程获取水泥浆体系设计表
②修改完善表格内容
③提交成果</t>
  </si>
  <si>
    <t>钻井过程完井概况</t>
  </si>
  <si>
    <t>地面工程建设规模和总体布局概况</t>
  </si>
  <si>
    <t>气田集输工程主要工程量表</t>
  </si>
  <si>
    <t>项目名称
施工项目类型
施工项目名称
计量单位
数量
备注</t>
  </si>
  <si>
    <t>①根据项目从地面工程获取气田集输工程主要工程量表
②修改完善表格内容
③提交成果</t>
  </si>
  <si>
    <t>气田净化工程概况</t>
  </si>
  <si>
    <t>各脱硫站出口天然气中的H2S含量符合《天然气》（GB17820-2012）一类天然气的要求，H2S不大于5mg/m3，总硫不大于60mg/m3。</t>
  </si>
  <si>
    <t>采出水处理工程概况</t>
  </si>
  <si>
    <t>公用工程及辅助生产设施设计概况</t>
  </si>
  <si>
    <t>可依托环保工程</t>
  </si>
  <si>
    <t>可依托环保工程概况</t>
  </si>
  <si>
    <t>可依托概况</t>
  </si>
  <si>
    <t>可依托设施的环评及验收情况表</t>
  </si>
  <si>
    <t>项目名称
环保类别
可依托单位
许可审批情况
备注</t>
  </si>
  <si>
    <t>①根据项目所属气田从知识库获取可依托设施的环评及验收情况表
②修改完善表格内容
③提交成果</t>
  </si>
  <si>
    <t>污水处理设施</t>
  </si>
  <si>
    <t>可依托污水处理设施情况</t>
  </si>
  <si>
    <t>固体废物处理设施</t>
  </si>
  <si>
    <t>概况可依托固体废物处理设施情况</t>
  </si>
  <si>
    <t>危险废物处理设施</t>
  </si>
  <si>
    <t>可依托危险废物处理设施情况</t>
  </si>
  <si>
    <t>环境影响因素分析</t>
  </si>
  <si>
    <t>水污染物分析</t>
  </si>
  <si>
    <t>施工期</t>
  </si>
  <si>
    <t>钻井工程废水产生分析</t>
  </si>
  <si>
    <t>钻井工程废水产生分析分析</t>
  </si>
  <si>
    <t>钻井工程用水量及废水产生量表</t>
  </si>
  <si>
    <t>项目名称
平台名称
井数
新鲜水补充量
损耗量
钻井废水产生量</t>
  </si>
  <si>
    <t>①根据项目从钻井工程获取钻井工程用水量及废水产生量表
②修改完善表格内容
③提交成果</t>
  </si>
  <si>
    <t>钻井工程钻井废水水质分析</t>
  </si>
  <si>
    <t>钻井工程钻井废水水质情况表</t>
  </si>
  <si>
    <t>项目名称
废水种类
pH值
COD浓度
石油类浓度
SS浓度
氨氮浓度</t>
  </si>
  <si>
    <t>①根据项目从知识库获取钻井工程钻井废水水质情况表
②修改完善表格内容
③提交成果</t>
  </si>
  <si>
    <t>洗井废水产生分析</t>
  </si>
  <si>
    <t>钻井工程洗井作业废水产生情况统计表</t>
  </si>
  <si>
    <t>项目名称
废水种类
单井产生量均值
pH值
COD浓度
石油类浓度
SS浓度
氯化物浓度</t>
  </si>
  <si>
    <t>①根据项目从钻井工程获取钻井工程洗井作业废水产生情况统计表
②修改完善表格内容
③提交成果</t>
  </si>
  <si>
    <t>生钻井工程活废水产生分析</t>
  </si>
  <si>
    <t>采气工程废水产生分析</t>
  </si>
  <si>
    <t>采气工程返排液水质情况表</t>
  </si>
  <si>
    <t xml:space="preserve">项目名称
污染物种类
pH值
SS浓度
石油类浓度
COD浓度
</t>
  </si>
  <si>
    <t>①根据项目从采气工程获取采气工程返排液水质情况表
②修改完善表格内容
③提交成果</t>
  </si>
  <si>
    <t>地面工程试压废水产生分析</t>
  </si>
  <si>
    <t>地面工程生活污水产生分析</t>
  </si>
  <si>
    <t>运行期</t>
  </si>
  <si>
    <t>运行期采气工程废水产生分析</t>
  </si>
  <si>
    <t>运行期地面工程废水产生分析</t>
  </si>
  <si>
    <t>运行期地面工程水污染物产生情况一览表</t>
  </si>
  <si>
    <t xml:space="preserve">项目名称
站库名称
排放源名称
排放规律
排放量
pH值
COD浓度
氨氮浓度
TDS浓度
磷酸根浓度
硫化物浓度
其他污染物浓度
排放去向
</t>
  </si>
  <si>
    <t>①根据项目从地面工程获取运行期地面工程水污染物产生情况一览表
②修改完善表格内容
③提交成果</t>
  </si>
  <si>
    <t>废弃期</t>
  </si>
  <si>
    <t>废弃期废水产生分析</t>
  </si>
  <si>
    <t>大气污染物分析</t>
  </si>
  <si>
    <t>施工期大气污染物产生分析</t>
  </si>
  <si>
    <t>施工期钻井工程大气污染物产生分析</t>
  </si>
  <si>
    <t>施工期采气工程大气污染物产生分析</t>
  </si>
  <si>
    <t>采气工程测试放喷污染物产生情况表</t>
  </si>
  <si>
    <t>项目名称
测试放喷天然气量
预计天然气中H2S浓度
放喷天然气燃烧后产生的SO2烟气量
放喷天然气燃烧后产生的SO2浓度
放喷天然气燃烧后产生的SO2速率
单井产生量
井数
产生总量</t>
  </si>
  <si>
    <t>①根据项目从采气工程获取采气工程测试放喷污染物产生情况表
②修改完善表格内容
③提交成果</t>
  </si>
  <si>
    <t>施工期地面工程大气污染物产生分析</t>
  </si>
  <si>
    <t>运行期采气工程大气污染物产生分析</t>
  </si>
  <si>
    <t>运行期地面工程大气污染物产生分析</t>
  </si>
  <si>
    <t>运行期地面工程大气污染物排放量表</t>
  </si>
  <si>
    <t>项目名称
站库名称
污染源名称
废气量
排放规律
排气筒参数-温度
排气筒参数-高度
排气筒参数-内径
SO2含量
NOX含量
烟尘
排放去向</t>
  </si>
  <si>
    <t>①根据项目从地面工程获取运行期地面工程大气污染物排放量表
②修改完善表格内容
③提交成果</t>
  </si>
  <si>
    <t>噪声分析</t>
  </si>
  <si>
    <t>施工期钻井工程噪声产生分析</t>
  </si>
  <si>
    <t>施工期钻井工程钻前/管道/站场施工噪声产生分析</t>
  </si>
  <si>
    <t>施工期钻井工程单井钻前噪声源强一览表</t>
  </si>
  <si>
    <t>项目名称
设备名称
测点距施工机具距离
最大声级
运行方式
运行时间</t>
  </si>
  <si>
    <t>①根据项目从钻井工程获取施工期钻井工程单井钻前噪声源强一览表
②修改完善表格内容
③提交成果</t>
  </si>
  <si>
    <t>施工期钻井工程钻井噪声产生分析</t>
  </si>
  <si>
    <t>施工期钻井工程单井钻井噪声源强一览表</t>
  </si>
  <si>
    <t>项目名称
阶段
噪声设备
数量
单台源强
采取的降噪措施
降噪后源强
噪声特性
排放时间
频谱特性
声源种类</t>
  </si>
  <si>
    <t>①根据项目所属气田从知识库获取施工期钻井工程单井钻井噪声源强一览表
②修改完善表格内容
③提交成果</t>
  </si>
  <si>
    <t>施工期采气工程噪声产生分析</t>
  </si>
  <si>
    <t>采气工程单井油气测试作业噪声源及声级值表</t>
  </si>
  <si>
    <t xml:space="preserve">项目名称
阶段
噪声设备
数量
单台源强
采取的降噪措施
降噪后源强
噪声特性
排放时间
频谱特性
声源种类
</t>
  </si>
  <si>
    <t>①根据项目从采气工程获取采气工程单井油气测试作业噪声源及声级值表
②修改完善表格内容
③提交成果</t>
  </si>
  <si>
    <t>施工期地面工程噪声产生分析</t>
  </si>
  <si>
    <t>运行期采气工程噪声产生分析</t>
  </si>
  <si>
    <t>运行期地面工程噪声产生分析</t>
  </si>
  <si>
    <t>运行期地面工程噪声源统计表</t>
  </si>
  <si>
    <t>项目名称
生产运行项目
设备名称
噪声值</t>
  </si>
  <si>
    <t>①根据项目从地面工程获取获取运行期地面工程噪声源统计表
②修改完善表格内容
③提交成果</t>
  </si>
  <si>
    <t>固体废物分析</t>
  </si>
  <si>
    <t>施工期钻井工程固体废物产生分析</t>
  </si>
  <si>
    <t>《国家危险废物名录》</t>
  </si>
  <si>
    <t>施工期采气工程固体废物产生分析</t>
  </si>
  <si>
    <t>施工期地面工程固体废物产生分析</t>
  </si>
  <si>
    <t>运行期采气工程固体废物产生分析</t>
  </si>
  <si>
    <t>运行期地面工程固体废物产生分析</t>
  </si>
  <si>
    <t>运行期地面工程固体废物产生情况一览表</t>
  </si>
  <si>
    <t>项目名称
固体废物名称
主要成分和类别
年产生量
排放规律
类别</t>
  </si>
  <si>
    <t>①根据项目从地面工程获取获取运行期地面工程固体废物产生情况一览表
②修改完善表格内容
③提交成果</t>
  </si>
  <si>
    <t>生态影响分析</t>
  </si>
  <si>
    <t>施工期钻井工程土地利用生态影响分析</t>
  </si>
  <si>
    <t>施工期钻井工程植被生态影响分析</t>
  </si>
  <si>
    <t>施工期钻井工程土壤生态生产影响分析</t>
  </si>
  <si>
    <t>施工期钻井工程野生动植物生态生产影响分析</t>
  </si>
  <si>
    <t>施工期钻井工程水土流失生态影响分析</t>
  </si>
  <si>
    <t>施工期钻井工程水土流失影响因素分析表</t>
  </si>
  <si>
    <t>项目名称
建设区域
时期
产生水土流失的因素</t>
  </si>
  <si>
    <t>①根据项目从钻井工程获取施工期钻井工程水土流失影响因素分析表
②修改完善表格内容
③提交成果</t>
  </si>
  <si>
    <t>施工期地面工程土地利用生态影响分析</t>
  </si>
  <si>
    <t>施工期地面工程占地情况表</t>
  </si>
  <si>
    <t>项目名称
项目工程分区
项目工程量
项目主要设计参数
永久占地
临时占地
合计</t>
  </si>
  <si>
    <t>①根据项目从地面工程获取施工期地面工程占地情况表
②修改完善表格内容
③提交成果</t>
  </si>
  <si>
    <t>施工期地面工程植被生态影响分析</t>
  </si>
  <si>
    <t>施工期地面工程土壤生态影响分析</t>
  </si>
  <si>
    <t>施工期地面工程野生动植物生态影响分析</t>
  </si>
  <si>
    <t>施工期地面工程水土流失生态影响分析</t>
  </si>
  <si>
    <t>施工期地面工程水土流失影响因素分析表</t>
  </si>
  <si>
    <t xml:space="preserve">项目名称
建设区域
时期
产生水土流失的因素
</t>
  </si>
  <si>
    <t>①根据项目从地面工程获取施工期地面工程水土流失影响因素分析表
②修改完善表格内容
③提交成果</t>
  </si>
  <si>
    <t>运行期地面工程水土流失生态影响分析</t>
  </si>
  <si>
    <t>废弃期地面工程水土流失生态影响分析</t>
  </si>
  <si>
    <t>环境风险分析</t>
  </si>
  <si>
    <t>施工期钻井工程环境风险分析</t>
  </si>
  <si>
    <t>施工期采气工程环境风险分析</t>
  </si>
  <si>
    <t>运行期采气工程环境风险分析</t>
  </si>
  <si>
    <t>运行期采气工程环境风险因素分析表</t>
  </si>
  <si>
    <t>项目名称
功能单元
环境风险
产生原因</t>
  </si>
  <si>
    <t>①根据项目从采气工程获取运行期采气工程环境风险因素分析表
②修改完善表格内容
③提交成果</t>
  </si>
  <si>
    <t>运行期地面工程环境风险分析</t>
  </si>
  <si>
    <t>运行期地面工程环境风险因素分析表</t>
  </si>
  <si>
    <t>①根据项目从地面工程获取运行期地面工程环境风险因素分析表
②修改完善表格内容
③提交成果</t>
  </si>
  <si>
    <t>废弃期环境风险分析</t>
  </si>
  <si>
    <t>环保措施方案</t>
  </si>
  <si>
    <t>水污染物防治措施方案</t>
  </si>
  <si>
    <t>施工期钻井工程钻井废水和洗井废水防治措施</t>
  </si>
  <si>
    <t>NB∕T 14009-2016 页岩气 钻井液使用推荐作法 油基钻井液；
SY_T 6629-2005陆上钻井作业环境保护推荐作法；</t>
  </si>
  <si>
    <t>施工期钻井工程生活废水防治措施</t>
  </si>
  <si>
    <t>施工期钻井工程其他废水防治措施</t>
  </si>
  <si>
    <t>施工期采气工程废水防治措施</t>
  </si>
  <si>
    <t>QSH 0239-2009 井下作业污染防治规范</t>
  </si>
  <si>
    <t>施工期地面工程废水防治措施</t>
  </si>
  <si>
    <t>《石油化工企业职业安全卫生设计规范》（SH/T 3047-2021</t>
  </si>
  <si>
    <t>运行期采气工程废水防治措施</t>
  </si>
  <si>
    <t>运行期地面工程废水防治措施</t>
  </si>
  <si>
    <t>《石油化工企业职业安全卫生设计规范》（SH/T 3047-2021；
《高含硫化氢气田集输设计规范》（SY/T 0612-2014）</t>
  </si>
  <si>
    <t>运行期废水污染防治措施可行性分析</t>
  </si>
  <si>
    <t>运行期地面工程污水水量平衡表</t>
  </si>
  <si>
    <t>项目名称
污水来源站库
污水来源设施
水量
去路名称
产出水名称
数量</t>
  </si>
  <si>
    <t>①根据项目所属气田从知识库获取运行期地面工程污水水量平衡表
②修改完善表格内容
③提交成果</t>
  </si>
  <si>
    <t>大气污染物防治措施方案</t>
  </si>
  <si>
    <t>施工期大气污染物防治措施</t>
  </si>
  <si>
    <t>SY_T 6629-2005陆上钻井作业环境保护推荐作法；QSH 0239-2009 井下作业污染防治规范；《石油化工企业职业安全卫生设计规范》（SH/T 3047-2021）；《高含硫化氢气田集输设计规范》（SY/T 0612-2014）</t>
  </si>
  <si>
    <t>施工期废气污染防治措施表</t>
  </si>
  <si>
    <t>项目名称
废气类型
环保措施内容
环保措施技术论证
环保措施经济论证
治理效果
是否可行</t>
  </si>
  <si>
    <t>①根据项目所属气田从知识库获取施工期废气污染防治措施表
②修改完善表格内容
③提交成果</t>
  </si>
  <si>
    <t>运行期采气工程大气污染物防治措施</t>
  </si>
  <si>
    <t>《陆上石油天然气开采工业大气污染物排放标准》（GB 39728—2020）</t>
  </si>
  <si>
    <t>运行期地面工程大气污染物防治措施</t>
  </si>
  <si>
    <t>运行期地面工程大气污染防治措施的可行性分析</t>
  </si>
  <si>
    <t>噪声防治措施方案</t>
  </si>
  <si>
    <t>施工期噪声防治措施</t>
  </si>
  <si>
    <t>QSH 0239-2009 井下作业污染防治规范；《高含硫化氢气田集输设计规范》；《工业企业噪声控制设计规范》；《石油化工企业职业安全卫生设计规范》（SH/T 3047-2021）</t>
  </si>
  <si>
    <t>运行期噪声防治措施</t>
  </si>
  <si>
    <t>《石油化工噪声控制设计规范》（SH/T 3146-2004）；《工业企业噪声控制设计规范》（GB/T50087-2013）；《石油化工企业职业安全卫生设计规范》（SH/T 3047-2021）</t>
  </si>
  <si>
    <t>固体废物防治措施方案</t>
  </si>
  <si>
    <t>施工期钻井工程固体废物防治措施</t>
  </si>
  <si>
    <t>SY_T 6629-2005陆上钻井作业环境保护推荐作法</t>
  </si>
  <si>
    <t>施工期采气工程固体废物防治措施</t>
  </si>
  <si>
    <t>施工期地面工程固体废物防治措施</t>
  </si>
  <si>
    <t>《高含硫化氢气田集输设计规范》（SY/T 0612-2014）</t>
  </si>
  <si>
    <t>施工期地面工程固废处置措施表</t>
  </si>
  <si>
    <t>项目名称
固废类型
环保措施内容
环保措施技术论证
环保措施经济论证
治理效果
是否可行</t>
  </si>
  <si>
    <t>①根据项目所属气田从知识库获取施工期地面工程固废处置措施表
②修改完善表格内容
③提交成果</t>
  </si>
  <si>
    <t>运行期采气工程固体废物暂存</t>
  </si>
  <si>
    <t>《石油化工环境保护设计规范》（SH/T 3024-2017）；《一般工业固体废物贮存、处置场污染控制标准》（GB18599-2001）4-9；《危险废物贮存污染控制标准》（GB18597-2001）4-9；《危险废物收集、贮存、运输技术规范》（HJ2025-2012）；《危险废物管理计划和管理台账制定技术导》（HJ 1259-2022）；《危险废物识别标志设置技术规范》（HJ 1276-2022）</t>
  </si>
  <si>
    <t>运行期采气工程固体废物污泥处理</t>
  </si>
  <si>
    <t>运行期采气工程固体废物去向</t>
  </si>
  <si>
    <t>运行期采气工程固体废物处置去向一览表</t>
  </si>
  <si>
    <t>项目名称
固体废物名称
类别
处理处置措施</t>
  </si>
  <si>
    <t>①根据项目所属气田从知识库获取运行期采气工程固体废物处置去向一览表
②修改完善表格内容
③提交成果</t>
  </si>
  <si>
    <t>运行期地面工程固体废物暂存</t>
  </si>
  <si>
    <t>运行期地面工程固体废物污泥处理</t>
  </si>
  <si>
    <t>运行期地面工程固体废物去向</t>
  </si>
  <si>
    <t>运行期地面工程固体废物处置去向一览表</t>
  </si>
  <si>
    <t>①根据项目所属气田从知识库获取运行期地面工程固体废物处置去向一览表
②修改完善表格内容
③提交成果</t>
  </si>
  <si>
    <t>生态影响防治措施方案</t>
  </si>
  <si>
    <t>施工期生态影响防治控制占用土地</t>
  </si>
  <si>
    <t>施工期生态影响防治植物保护</t>
  </si>
  <si>
    <t>施工期生态影响防治野生动植物保护</t>
  </si>
  <si>
    <t>施工期生态影响防治水土流失控制</t>
  </si>
  <si>
    <t>运行期生态影响防治措施</t>
  </si>
  <si>
    <t>报废期生态影响防治措施</t>
  </si>
  <si>
    <t>环境风险防范措施方案</t>
  </si>
  <si>
    <t>施工期钻井工程环境防范措施</t>
  </si>
  <si>
    <t>施工期采气工程环境防范措施</t>
  </si>
  <si>
    <t>运行期采气工程环境防范措施</t>
  </si>
  <si>
    <t>运行期地面工程环境防范措施</t>
  </si>
  <si>
    <t>废弃期环境防范措施</t>
  </si>
  <si>
    <t>环保工程投资估算</t>
  </si>
  <si>
    <t>投资估算总表</t>
  </si>
  <si>
    <t>项目名称
项目
环保投资</t>
  </si>
  <si>
    <t>①根据项目所属气田从知识库获取投资估算总表
②修改完善表格内容
③提交成果</t>
  </si>
  <si>
    <t>钻井工程环保投资估算表</t>
  </si>
  <si>
    <t>项目名称
污染物名称
治理方案及效果
环保投资</t>
  </si>
  <si>
    <t>①根据项目所属气田从知识库获取钻井工程环保投资估算表
②修改完善表格内容
③提交成果</t>
  </si>
  <si>
    <t>采气工程环保投资估算表</t>
  </si>
  <si>
    <t>①根据项目所属气田从知识库获取采气工程环保投资估算表
②修改完善表格内容
③提交成果</t>
  </si>
  <si>
    <t>地面工程环保投资估算表</t>
  </si>
  <si>
    <t>①根据项目所属气田从知识库获取地面工程环保投资估算表
②修改完善表格内容
③提交成果</t>
  </si>
  <si>
    <t>环保风险评估</t>
  </si>
  <si>
    <t>风险应对措施建议</t>
  </si>
  <si>
    <t>环保风险应对措施建议</t>
  </si>
  <si>
    <t>职业卫生</t>
  </si>
  <si>
    <t>法律法规规章</t>
  </si>
  <si>
    <t>国家法律法规规章</t>
  </si>
  <si>
    <t>①初始化显示通用的国家法律法规规章
②按需可从知识库提取
③修改完善文本内容
④提交成果</t>
  </si>
  <si>
    <t>地方法规规章</t>
  </si>
  <si>
    <t>①初始化显示通用的地方法规规章
②按需可从知识库提取
③修改完善文本内容
④提交成果</t>
  </si>
  <si>
    <t>标准规范</t>
  </si>
  <si>
    <t>①初始化显示通用的国家标准
②按需可从知识库提取
③修改完善文本内容
④提交成果</t>
  </si>
  <si>
    <t>①初始化显示通用的地方标准
②按需可从知识库提取
③修改完善文本内容
④提交成果</t>
  </si>
  <si>
    <t>行业标准</t>
  </si>
  <si>
    <t>①初始化显示通用的行业标准
②按需可从知识库提取
③修改完善文本内容
④提交成果</t>
  </si>
  <si>
    <t>企业标准</t>
  </si>
  <si>
    <t>①初始化显示通用的企业标准
②按需可从知识库提取
③修改完善文本内容
④提交成果</t>
  </si>
  <si>
    <t>项目总体概况</t>
  </si>
  <si>
    <t>项目地理位置</t>
  </si>
  <si>
    <t>项目地理位置图片</t>
  </si>
  <si>
    <t>①根据项目所属气田从知识库获取项目地理位置图片
②提交成果</t>
  </si>
  <si>
    <t>项目基本情况表</t>
  </si>
  <si>
    <t>项目名称
年产天然气
总投资规模
项目管理方式
作业起始时间
作业完成时间
计划工期
劳动定员
管理岗员工
操作岗员工
职业健康卫生工作任务
职业健康卫生工作范围</t>
  </si>
  <si>
    <t>①从知识库获取项目基本情况表
②修改完善表格内容
③提交成果</t>
  </si>
  <si>
    <t>气藏地质特征概述</t>
  </si>
  <si>
    <t>气藏特征概述</t>
  </si>
  <si>
    <t>气藏工程设计概述</t>
  </si>
  <si>
    <t>项目名称
井台
井名
配产
日产水平
新建产能
备注
井数</t>
  </si>
  <si>
    <t>①从气藏工程获取开发井部署情况一览表
②修改完善表格内容
③提交成果</t>
  </si>
  <si>
    <t>钻井井身结构</t>
  </si>
  <si>
    <t>钻井工艺</t>
  </si>
  <si>
    <t>钻井设备选择情况</t>
  </si>
  <si>
    <t>钻井液情况</t>
  </si>
  <si>
    <t>项目名称
开次代码
钻头尺寸
井段（起）
井段（止）
钻井液体系
钻井液类型</t>
  </si>
  <si>
    <t>①从钻井工程获取分段钻井液类型表
②修改完善表格内容
③提交成果</t>
  </si>
  <si>
    <t>固井工艺情况</t>
  </si>
  <si>
    <t>产能部署情况</t>
  </si>
  <si>
    <t>投产工艺</t>
  </si>
  <si>
    <t>试气概况</t>
  </si>
  <si>
    <t>主要设备及材料</t>
  </si>
  <si>
    <t>采气工艺</t>
  </si>
  <si>
    <t>净化工程</t>
  </si>
  <si>
    <t>天然气净化工程工艺流程图</t>
  </si>
  <si>
    <t>①根据项目所属气田从知识库获取天然气净化工程工艺流程图
②提交成果</t>
  </si>
  <si>
    <t>污水处理工程</t>
  </si>
  <si>
    <t>气田集输工程</t>
  </si>
  <si>
    <t>项目名称
集输项目类别
集输项目名称
数量
单位
备注</t>
  </si>
  <si>
    <t>①从地面工程获取气田集输工程主要工程量表
②修改完善表格内容
③提交成果</t>
  </si>
  <si>
    <t>地面工程生产过程材料表</t>
  </si>
  <si>
    <t>项目名称
材料名称
材料类型
用量
产量</t>
  </si>
  <si>
    <t>①从地面工程获取地面工程生产过程材料表
②修改完善表格内容
③提交成果</t>
  </si>
  <si>
    <t>供配电方案</t>
  </si>
  <si>
    <t>供水方案</t>
  </si>
  <si>
    <t>通信方式</t>
  </si>
  <si>
    <t>消防系统</t>
  </si>
  <si>
    <t>道路及建构筑物</t>
  </si>
  <si>
    <t>暖通方式</t>
  </si>
  <si>
    <t>自动控制方案</t>
  </si>
  <si>
    <t>职业健康卫生危害因素分析</t>
  </si>
  <si>
    <t>主要职业健康卫生危害因素分析</t>
  </si>
  <si>
    <t>主要职业病危害因素分析综述</t>
  </si>
  <si>
    <t>主要危害因素分析</t>
  </si>
  <si>
    <t>主要危害因素列表</t>
  </si>
  <si>
    <t>项目名称
危害因素-危害类型
危害因素-危害因素
主要危害及侵入途径描述
职业病类型
主要危害标志</t>
  </si>
  <si>
    <t>①从知识库获取主要危害因素列表
②修改完善表格内容
③提交成果</t>
  </si>
  <si>
    <t>硫化氢对人的生理影响及危害表</t>
  </si>
  <si>
    <t>体积
浓度
密度
暴露于硫化氢的典型特性</t>
  </si>
  <si>
    <t>①从知识库获取硫化氢对人的生理影响及危害表
②修改完善表格内容
③提交成果</t>
  </si>
  <si>
    <t>职业危害程度分级及职业接触限值表</t>
  </si>
  <si>
    <t>职业危害因素名称
职业危害程度分级
最高允许浓度
时间加权平均
短时间接触</t>
  </si>
  <si>
    <t>①从知识库获取职业危害程度分级及职业接触限值表
②修改完善表格内容
③提交成果</t>
  </si>
  <si>
    <t>工业企业噪声控制标准表</t>
  </si>
  <si>
    <t>类别
控制指标-昼间
控制指标-夜间
适用范围</t>
  </si>
  <si>
    <t>①从知识库获取工业企业噪声控制标准表
②修改完善表格内容
③提交成果</t>
  </si>
  <si>
    <t>自然及社会环境职业健康卫生危害因素分析</t>
  </si>
  <si>
    <t>项目自然及社会环境危害因素分析</t>
  </si>
  <si>
    <t>**项目自然及社会环境危害因素表</t>
  </si>
  <si>
    <t xml:space="preserve">项目名称
气田名称
危害因素-危害类型
危害因素-危害因素
主要危害及侵入途径描述
职业病类型
</t>
  </si>
  <si>
    <t>①从知识库获取项目自然及社会环境危害因素表
②修改完善表格内容
③提交成果</t>
  </si>
  <si>
    <t>施工及工艺过程的职业健康卫生危害因素分析</t>
  </si>
  <si>
    <t>钻井工程职业病危害因素分析</t>
  </si>
  <si>
    <t>**项目钻井工程过程中危害因素表</t>
  </si>
  <si>
    <t>项目名称
工程阶段
危害因素-危害类型
危害因素-危害因素
主要危害及侵入途径描述
职业病类型</t>
  </si>
  <si>
    <t>①从知识库获取项目钻井工程过程中危害因素表
②修改完善表格内容
③提交成果</t>
  </si>
  <si>
    <t>钻井工程危害因素接触</t>
  </si>
  <si>
    <t>**项目钻井工程危害因素接触情况表</t>
  </si>
  <si>
    <t>项目名称
危害因素-危害类型
危害因素-危害因素
接触方式
接触时间
职业接触浓度/强度
接触人数
接触人数-男
接触人数-女
接触机会</t>
  </si>
  <si>
    <t>①从钻井工程获取项目钻井工程危害因素接触情况表
②修改完善表格内容
③提交成果</t>
  </si>
  <si>
    <t>钻井工程前后职业病防护措施控制性能对比表</t>
  </si>
  <si>
    <t>项目名称
危害因素-危害类型
危害因素-危害因素
前后差
接触方式
接触时间
职业接触浓度/强度
接触人数
接触人数-男
接触人数-女
接触机会
防护措施的控制性能和效果评价</t>
  </si>
  <si>
    <t>①从钻井工程获取钻井工程前后职业病防护措施控制性能对比表
②修改完善表格内容
③提交成果</t>
  </si>
  <si>
    <t>采气工程职业病危害因素分析</t>
  </si>
  <si>
    <t>**项目采气工程生产过程中危害因素表</t>
  </si>
  <si>
    <t>①从采气工程获取项目采气工程生产过程中危害因素表
②修改完善表格内容
③提交成果</t>
  </si>
  <si>
    <t>采气工程职业病危害因素接触情况分析</t>
  </si>
  <si>
    <t>采气工程职业病危害因素接触情况分析表</t>
  </si>
  <si>
    <t>项目名称
危害因素-危害类型
危害因素-危害因素
接触方式
接触时间
职业接触浓度
职业接触强度
接触人数
接触人数-男
接触人数-女
接触机会</t>
  </si>
  <si>
    <t>①从采气工程获取采气工程职业病危害因素接触情况分析表
②修改完善表格内容
③提交成果</t>
  </si>
  <si>
    <t>项目采气工程前后职业病防护措施控制性能对比表</t>
  </si>
  <si>
    <t xml:space="preserve">项目名称
危害因素-危害类型
危害因素-危害因素
前后差
接触方式
接触时间
职业接触浓度/强度
接触人数
接触人数-男
接触人数-女
接触机会
防护措施的控制性能和效果评价
</t>
  </si>
  <si>
    <t>①从采气工程获取项目采气工程前后职业病防护措施控制性能对比表
②修改完善表格内容
③提交成果</t>
  </si>
  <si>
    <t>地面工程职业病危害因素分析</t>
  </si>
  <si>
    <t>**项目地面工程职业病危害因素分析表</t>
  </si>
  <si>
    <r>
      <rPr>
        <sz val="11"/>
        <color theme="1"/>
        <rFont val="宋体"/>
        <charset val="134"/>
      </rPr>
      <t>项目名称</t>
    </r>
    <r>
      <rPr>
        <sz val="11"/>
        <color theme="1"/>
        <rFont val="Tahoma"/>
        <charset val="134"/>
      </rPr>
      <t xml:space="preserve">
</t>
    </r>
    <r>
      <rPr>
        <sz val="11"/>
        <color theme="1"/>
        <rFont val="宋体"/>
        <charset val="134"/>
      </rPr>
      <t>工程阶段</t>
    </r>
    <r>
      <rPr>
        <sz val="11"/>
        <color theme="1"/>
        <rFont val="Tahoma"/>
        <charset val="134"/>
      </rPr>
      <t xml:space="preserve">
</t>
    </r>
    <r>
      <rPr>
        <sz val="11"/>
        <color theme="1"/>
        <rFont val="宋体"/>
        <charset val="134"/>
      </rPr>
      <t>工程子阶段</t>
    </r>
    <r>
      <rPr>
        <sz val="11"/>
        <color theme="1"/>
        <rFont val="Tahoma"/>
        <charset val="134"/>
      </rPr>
      <t xml:space="preserve">
</t>
    </r>
    <r>
      <rPr>
        <sz val="11"/>
        <color theme="1"/>
        <rFont val="宋体"/>
        <charset val="134"/>
      </rPr>
      <t>危害因素</t>
    </r>
    <r>
      <rPr>
        <sz val="11"/>
        <color theme="1"/>
        <rFont val="Tahoma"/>
        <charset val="134"/>
      </rPr>
      <t>-</t>
    </r>
    <r>
      <rPr>
        <sz val="11"/>
        <color theme="1"/>
        <rFont val="宋体"/>
        <charset val="134"/>
      </rPr>
      <t>危害类型</t>
    </r>
    <r>
      <rPr>
        <sz val="11"/>
        <color theme="1"/>
        <rFont val="Tahoma"/>
        <charset val="134"/>
      </rPr>
      <t xml:space="preserve">
</t>
    </r>
    <r>
      <rPr>
        <sz val="11"/>
        <color theme="1"/>
        <rFont val="宋体"/>
        <charset val="134"/>
      </rPr>
      <t>危害因素</t>
    </r>
    <r>
      <rPr>
        <sz val="11"/>
        <color theme="1"/>
        <rFont val="Tahoma"/>
        <charset val="134"/>
      </rPr>
      <t>-</t>
    </r>
    <r>
      <rPr>
        <sz val="11"/>
        <color theme="1"/>
        <rFont val="宋体"/>
        <charset val="134"/>
      </rPr>
      <t>危害因素</t>
    </r>
    <r>
      <rPr>
        <sz val="11"/>
        <color theme="1"/>
        <rFont val="Tahoma"/>
        <charset val="134"/>
      </rPr>
      <t xml:space="preserve">
</t>
    </r>
    <r>
      <rPr>
        <sz val="11"/>
        <color theme="1"/>
        <rFont val="宋体"/>
        <charset val="134"/>
      </rPr>
      <t>危害因素描述</t>
    </r>
    <r>
      <rPr>
        <sz val="11"/>
        <color theme="1"/>
        <rFont val="Tahoma"/>
        <charset val="134"/>
      </rPr>
      <t xml:space="preserve">
</t>
    </r>
    <r>
      <rPr>
        <sz val="11"/>
        <color theme="1"/>
        <rFont val="宋体"/>
        <charset val="134"/>
      </rPr>
      <t>职业病类型</t>
    </r>
  </si>
  <si>
    <t>①从知识库获取项目地面工程职业病危害因素分析表
②修改完善表格内容
③提交成果</t>
  </si>
  <si>
    <t>地面工程职业病危害因素接触情况分析</t>
  </si>
  <si>
    <t>**项目地面工程职业病危害因素接触情况分析表</t>
  </si>
  <si>
    <r>
      <rPr>
        <sz val="11"/>
        <color theme="1"/>
        <rFont val="宋体"/>
        <charset val="134"/>
      </rPr>
      <t>项目名称</t>
    </r>
    <r>
      <rPr>
        <sz val="11"/>
        <color theme="1"/>
        <rFont val="Tahoma"/>
        <charset val="134"/>
      </rPr>
      <t xml:space="preserve">
</t>
    </r>
    <r>
      <rPr>
        <sz val="11"/>
        <color theme="1"/>
        <rFont val="宋体"/>
        <charset val="134"/>
      </rPr>
      <t>危害因素</t>
    </r>
    <r>
      <rPr>
        <sz val="11"/>
        <color theme="1"/>
        <rFont val="Tahoma"/>
        <charset val="134"/>
      </rPr>
      <t>-</t>
    </r>
    <r>
      <rPr>
        <sz val="11"/>
        <color theme="1"/>
        <rFont val="宋体"/>
        <charset val="134"/>
      </rPr>
      <t>危害类型</t>
    </r>
    <r>
      <rPr>
        <sz val="11"/>
        <color theme="1"/>
        <rFont val="Tahoma"/>
        <charset val="134"/>
      </rPr>
      <t xml:space="preserve">
</t>
    </r>
    <r>
      <rPr>
        <sz val="11"/>
        <color theme="1"/>
        <rFont val="宋体"/>
        <charset val="134"/>
      </rPr>
      <t>危害因素</t>
    </r>
    <r>
      <rPr>
        <sz val="11"/>
        <color theme="1"/>
        <rFont val="Tahoma"/>
        <charset val="134"/>
      </rPr>
      <t>-</t>
    </r>
    <r>
      <rPr>
        <sz val="11"/>
        <color theme="1"/>
        <rFont val="宋体"/>
        <charset val="134"/>
      </rPr>
      <t>危害因素</t>
    </r>
    <r>
      <rPr>
        <sz val="11"/>
        <color theme="1"/>
        <rFont val="Tahoma"/>
        <charset val="134"/>
      </rPr>
      <t xml:space="preserve">
</t>
    </r>
    <r>
      <rPr>
        <sz val="11"/>
        <color theme="1"/>
        <rFont val="宋体"/>
        <charset val="134"/>
      </rPr>
      <t>接触方式</t>
    </r>
    <r>
      <rPr>
        <sz val="11"/>
        <color theme="1"/>
        <rFont val="Tahoma"/>
        <charset val="134"/>
      </rPr>
      <t xml:space="preserve">
</t>
    </r>
    <r>
      <rPr>
        <sz val="11"/>
        <color theme="1"/>
        <rFont val="宋体"/>
        <charset val="134"/>
      </rPr>
      <t>接触时间</t>
    </r>
    <r>
      <rPr>
        <sz val="11"/>
        <color theme="1"/>
        <rFont val="Tahoma"/>
        <charset val="134"/>
      </rPr>
      <t xml:space="preserve">
</t>
    </r>
    <r>
      <rPr>
        <sz val="11"/>
        <color theme="1"/>
        <rFont val="宋体"/>
        <charset val="134"/>
      </rPr>
      <t>职业接触浓度</t>
    </r>
    <r>
      <rPr>
        <sz val="11"/>
        <color theme="1"/>
        <rFont val="Tahoma"/>
        <charset val="134"/>
      </rPr>
      <t>/</t>
    </r>
    <r>
      <rPr>
        <sz val="11"/>
        <color theme="1"/>
        <rFont val="宋体"/>
        <charset val="134"/>
      </rPr>
      <t>强度</t>
    </r>
    <r>
      <rPr>
        <sz val="11"/>
        <color theme="1"/>
        <rFont val="Tahoma"/>
        <charset val="134"/>
      </rPr>
      <t xml:space="preserve">
</t>
    </r>
    <r>
      <rPr>
        <sz val="11"/>
        <color theme="1"/>
        <rFont val="宋体"/>
        <charset val="134"/>
      </rPr>
      <t>接触人数</t>
    </r>
    <r>
      <rPr>
        <sz val="11"/>
        <color theme="1"/>
        <rFont val="Tahoma"/>
        <charset val="134"/>
      </rPr>
      <t xml:space="preserve">
</t>
    </r>
    <r>
      <rPr>
        <sz val="11"/>
        <color theme="1"/>
        <rFont val="宋体"/>
        <charset val="134"/>
      </rPr>
      <t>接触人数</t>
    </r>
    <r>
      <rPr>
        <sz val="11"/>
        <color theme="1"/>
        <rFont val="Tahoma"/>
        <charset val="134"/>
      </rPr>
      <t>-</t>
    </r>
    <r>
      <rPr>
        <sz val="11"/>
        <color theme="1"/>
        <rFont val="宋体"/>
        <charset val="134"/>
      </rPr>
      <t>男</t>
    </r>
    <r>
      <rPr>
        <sz val="11"/>
        <color theme="1"/>
        <rFont val="Tahoma"/>
        <charset val="134"/>
      </rPr>
      <t xml:space="preserve">
</t>
    </r>
    <r>
      <rPr>
        <sz val="11"/>
        <color theme="1"/>
        <rFont val="宋体"/>
        <charset val="134"/>
      </rPr>
      <t>接触人数</t>
    </r>
    <r>
      <rPr>
        <sz val="11"/>
        <color theme="1"/>
        <rFont val="Tahoma"/>
        <charset val="134"/>
      </rPr>
      <t>-</t>
    </r>
    <r>
      <rPr>
        <sz val="11"/>
        <color theme="1"/>
        <rFont val="宋体"/>
        <charset val="134"/>
      </rPr>
      <t>女</t>
    </r>
    <r>
      <rPr>
        <sz val="11"/>
        <color theme="1"/>
        <rFont val="Tahoma"/>
        <charset val="134"/>
      </rPr>
      <t xml:space="preserve">
</t>
    </r>
    <r>
      <rPr>
        <sz val="11"/>
        <color theme="1"/>
        <rFont val="宋体"/>
        <charset val="134"/>
      </rPr>
      <t>接触机会</t>
    </r>
  </si>
  <si>
    <t>①从知识库获取项目地面工程职业病危害因素接触情况分析表
②修改完善表格内容
③提交成果</t>
  </si>
  <si>
    <t>职业健康卫生措施方案</t>
  </si>
  <si>
    <t>职业健康卫生技术措施方案</t>
  </si>
  <si>
    <t>平面布置原则</t>
  </si>
  <si>
    <t>选址布置情况</t>
  </si>
  <si>
    <t>项目选址布置图片</t>
  </si>
  <si>
    <t>①根据项目所属气田从知识库获取项目选址布置图片
②提交成果</t>
  </si>
  <si>
    <t>生产工艺及设备布置</t>
  </si>
  <si>
    <t>站场工艺流程情况</t>
  </si>
  <si>
    <t>项目站场工艺布置情况图片</t>
  </si>
  <si>
    <t>①根据项目所属气田从知识库获取项目站场工艺布置情况图片
②提交成果</t>
  </si>
  <si>
    <t>典型脱硫站集输部分主要设备表</t>
  </si>
  <si>
    <r>
      <rPr>
        <sz val="11"/>
        <color theme="1"/>
        <rFont val="宋体"/>
        <charset val="134"/>
      </rPr>
      <t>项目名称</t>
    </r>
    <r>
      <rPr>
        <sz val="11"/>
        <color theme="1"/>
        <rFont val="Tahoma"/>
        <charset val="134"/>
      </rPr>
      <t xml:space="preserve">
</t>
    </r>
    <r>
      <rPr>
        <sz val="11"/>
        <color theme="1"/>
        <rFont val="宋体"/>
        <charset val="134"/>
      </rPr>
      <t>设备名称</t>
    </r>
    <r>
      <rPr>
        <sz val="11"/>
        <color theme="1"/>
        <rFont val="Tahoma"/>
        <charset val="134"/>
      </rPr>
      <t xml:space="preserve">
</t>
    </r>
    <r>
      <rPr>
        <sz val="11"/>
        <color theme="1"/>
        <rFont val="宋体"/>
        <charset val="134"/>
      </rPr>
      <t>数量</t>
    </r>
    <r>
      <rPr>
        <sz val="11"/>
        <color theme="1"/>
        <rFont val="Tahoma"/>
        <charset val="134"/>
      </rPr>
      <t xml:space="preserve">
</t>
    </r>
    <r>
      <rPr>
        <sz val="11"/>
        <color theme="1"/>
        <rFont val="宋体"/>
        <charset val="134"/>
      </rPr>
      <t>单台设备规格尺寸</t>
    </r>
    <r>
      <rPr>
        <sz val="11"/>
        <color theme="1"/>
        <rFont val="Tahoma"/>
        <charset val="134"/>
      </rPr>
      <t xml:space="preserve">
</t>
    </r>
    <r>
      <rPr>
        <sz val="11"/>
        <color theme="1"/>
        <rFont val="宋体"/>
        <charset val="134"/>
      </rPr>
      <t>设计压力</t>
    </r>
    <r>
      <rPr>
        <sz val="11"/>
        <color theme="1"/>
        <rFont val="Tahoma"/>
        <charset val="134"/>
      </rPr>
      <t xml:space="preserve">
</t>
    </r>
    <r>
      <rPr>
        <sz val="11"/>
        <color theme="1"/>
        <rFont val="宋体"/>
        <charset val="134"/>
      </rPr>
      <t>设计温度</t>
    </r>
    <r>
      <rPr>
        <sz val="11"/>
        <color theme="1"/>
        <rFont val="Tahoma"/>
        <charset val="134"/>
      </rPr>
      <t xml:space="preserve">
</t>
    </r>
    <r>
      <rPr>
        <sz val="11"/>
        <color theme="1"/>
        <rFont val="宋体"/>
        <charset val="134"/>
      </rPr>
      <t>备注</t>
    </r>
  </si>
  <si>
    <t>①从知识库获取典型脱硫站集输部分主要设备表
②修改完善表格内容
③提交成果</t>
  </si>
  <si>
    <t>设备布局</t>
  </si>
  <si>
    <t>建筑设计卫生要求</t>
  </si>
  <si>
    <t>主要建（构）筑物情况</t>
  </si>
  <si>
    <t>**项目主要建（构）筑物表</t>
  </si>
  <si>
    <r>
      <rPr>
        <sz val="11"/>
        <color theme="1"/>
        <rFont val="宋体"/>
        <charset val="134"/>
      </rPr>
      <t>项目名称</t>
    </r>
    <r>
      <rPr>
        <sz val="11"/>
        <color theme="1"/>
        <rFont val="Tahoma"/>
        <charset val="134"/>
      </rPr>
      <t xml:space="preserve">
</t>
    </r>
    <r>
      <rPr>
        <sz val="11"/>
        <color theme="1"/>
        <rFont val="宋体"/>
        <charset val="134"/>
      </rPr>
      <t>建（构）筑物名称</t>
    </r>
    <r>
      <rPr>
        <sz val="11"/>
        <color theme="1"/>
        <rFont val="Tahoma"/>
        <charset val="134"/>
      </rPr>
      <t xml:space="preserve">
</t>
    </r>
    <r>
      <rPr>
        <sz val="11"/>
        <color theme="1"/>
        <rFont val="宋体"/>
        <charset val="134"/>
      </rPr>
      <t>数量</t>
    </r>
    <r>
      <rPr>
        <sz val="11"/>
        <color theme="1"/>
        <rFont val="Tahoma"/>
        <charset val="134"/>
      </rPr>
      <t xml:space="preserve">
</t>
    </r>
    <r>
      <rPr>
        <sz val="11"/>
        <color theme="1"/>
        <rFont val="宋体"/>
        <charset val="134"/>
      </rPr>
      <t>安全等级</t>
    </r>
    <r>
      <rPr>
        <sz val="11"/>
        <color theme="1"/>
        <rFont val="Tahoma"/>
        <charset val="134"/>
      </rPr>
      <t xml:space="preserve">
</t>
    </r>
    <r>
      <rPr>
        <sz val="11"/>
        <color theme="1"/>
        <rFont val="宋体"/>
        <charset val="134"/>
      </rPr>
      <t>耐火等级</t>
    </r>
    <r>
      <rPr>
        <sz val="11"/>
        <color theme="1"/>
        <rFont val="Tahoma"/>
        <charset val="134"/>
      </rPr>
      <t xml:space="preserve">
</t>
    </r>
    <r>
      <rPr>
        <sz val="11"/>
        <color theme="1"/>
        <rFont val="宋体"/>
        <charset val="134"/>
      </rPr>
      <t>抗震设防类别</t>
    </r>
    <r>
      <rPr>
        <sz val="11"/>
        <color theme="1"/>
        <rFont val="Tahoma"/>
        <charset val="134"/>
      </rPr>
      <t xml:space="preserve">
</t>
    </r>
    <r>
      <rPr>
        <sz val="11"/>
        <color theme="1"/>
        <rFont val="宋体"/>
        <charset val="134"/>
      </rPr>
      <t>结构形式</t>
    </r>
    <r>
      <rPr>
        <sz val="11"/>
        <color theme="1"/>
        <rFont val="Tahoma"/>
        <charset val="134"/>
      </rPr>
      <t xml:space="preserve">
</t>
    </r>
    <r>
      <rPr>
        <sz val="11"/>
        <color theme="1"/>
        <rFont val="宋体"/>
        <charset val="134"/>
      </rPr>
      <t>备注</t>
    </r>
  </si>
  <si>
    <t>①从知识库获取项目主要建（构）筑物表
②修改完善表格内容
③提交成果</t>
  </si>
  <si>
    <t>**项目通风与空气调节设计情况表</t>
  </si>
  <si>
    <r>
      <rPr>
        <sz val="11"/>
        <color theme="1"/>
        <rFont val="宋体"/>
        <charset val="134"/>
      </rPr>
      <t>项目名称</t>
    </r>
    <r>
      <rPr>
        <sz val="11"/>
        <color theme="1"/>
        <rFont val="Tahoma"/>
        <charset val="134"/>
      </rPr>
      <t xml:space="preserve">
</t>
    </r>
    <r>
      <rPr>
        <sz val="11"/>
        <color theme="1"/>
        <rFont val="宋体"/>
        <charset val="134"/>
      </rPr>
      <t>建（构）筑物</t>
    </r>
    <r>
      <rPr>
        <sz val="11"/>
        <color theme="1"/>
        <rFont val="Tahoma"/>
        <charset val="134"/>
      </rPr>
      <t>/</t>
    </r>
    <r>
      <rPr>
        <sz val="11"/>
        <color theme="1"/>
        <rFont val="宋体"/>
        <charset val="134"/>
      </rPr>
      <t>区域名称</t>
    </r>
    <r>
      <rPr>
        <sz val="11"/>
        <color theme="1"/>
        <rFont val="Tahoma"/>
        <charset val="134"/>
      </rPr>
      <t xml:space="preserve">
</t>
    </r>
    <r>
      <rPr>
        <sz val="11"/>
        <color theme="1"/>
        <rFont val="宋体"/>
        <charset val="134"/>
      </rPr>
      <t>设计内容</t>
    </r>
  </si>
  <si>
    <t>①从知识库获取项目通风与空气调节设计情况表
②修改完善表格内容
③提交成果</t>
  </si>
  <si>
    <t>**项目建筑采光设计情况表</t>
  </si>
  <si>
    <r>
      <rPr>
        <sz val="11"/>
        <color theme="1"/>
        <rFont val="宋体"/>
        <charset val="134"/>
      </rPr>
      <t>项目名称</t>
    </r>
    <r>
      <rPr>
        <sz val="11"/>
        <color theme="1"/>
        <rFont val="Tahoma"/>
        <charset val="134"/>
      </rPr>
      <t xml:space="preserve">
</t>
    </r>
    <r>
      <rPr>
        <sz val="11"/>
        <color theme="1"/>
        <rFont val="宋体"/>
        <charset val="134"/>
      </rPr>
      <t>建筑名称</t>
    </r>
    <r>
      <rPr>
        <sz val="11"/>
        <color theme="1"/>
        <rFont val="Tahoma"/>
        <charset val="134"/>
      </rPr>
      <t xml:space="preserve">
</t>
    </r>
    <r>
      <rPr>
        <sz val="11"/>
        <color theme="1"/>
        <rFont val="宋体"/>
        <charset val="134"/>
      </rPr>
      <t>采光设计情况</t>
    </r>
  </si>
  <si>
    <t>①从知识库获取项目建筑采光设计情况表
②修改完善表格内容
③提交成果</t>
  </si>
  <si>
    <t>**项目作业场所照明设施设计表</t>
  </si>
  <si>
    <r>
      <rPr>
        <sz val="11"/>
        <color theme="1"/>
        <rFont val="宋体"/>
        <charset val="134"/>
      </rPr>
      <t>项目名称</t>
    </r>
    <r>
      <rPr>
        <sz val="11"/>
        <color theme="1"/>
        <rFont val="Tahoma"/>
        <charset val="134"/>
      </rPr>
      <t xml:space="preserve">
</t>
    </r>
    <r>
      <rPr>
        <sz val="11"/>
        <color theme="1"/>
        <rFont val="宋体"/>
        <charset val="134"/>
      </rPr>
      <t>房间或场所</t>
    </r>
    <r>
      <rPr>
        <sz val="11"/>
        <color theme="1"/>
        <rFont val="Tahoma"/>
        <charset val="134"/>
      </rPr>
      <t xml:space="preserve">
</t>
    </r>
    <r>
      <rPr>
        <sz val="11"/>
        <color theme="1"/>
        <rFont val="宋体"/>
        <charset val="134"/>
      </rPr>
      <t>参考平面及其高度</t>
    </r>
    <r>
      <rPr>
        <sz val="11"/>
        <color theme="1"/>
        <rFont val="Tahoma"/>
        <charset val="134"/>
      </rPr>
      <t xml:space="preserve">
</t>
    </r>
    <r>
      <rPr>
        <sz val="11"/>
        <color theme="1"/>
        <rFont val="宋体"/>
        <charset val="134"/>
      </rPr>
      <t>照度标准值</t>
    </r>
    <r>
      <rPr>
        <sz val="11"/>
        <color theme="1"/>
        <rFont val="Tahoma"/>
        <charset val="134"/>
      </rPr>
      <t xml:space="preserve">
UGR
Uo
Ra</t>
    </r>
  </si>
  <si>
    <t>①从知识库获取项目作业场所照明设施设计表
②修改完善表格内容
③提交成果</t>
  </si>
  <si>
    <t>职业病防护设施</t>
  </si>
  <si>
    <t>职业病防护设施设计及其控制性能</t>
  </si>
  <si>
    <t>个体防护用品配备明细表</t>
  </si>
  <si>
    <r>
      <rPr>
        <sz val="11"/>
        <color theme="1"/>
        <rFont val="宋体"/>
        <charset val="134"/>
      </rPr>
      <t>项目名称</t>
    </r>
    <r>
      <rPr>
        <sz val="11"/>
        <color theme="1"/>
        <rFont val="Tahoma"/>
        <charset val="134"/>
      </rPr>
      <t xml:space="preserve">
</t>
    </r>
    <r>
      <rPr>
        <sz val="11"/>
        <color theme="1"/>
        <rFont val="宋体"/>
        <charset val="134"/>
      </rPr>
      <t>个人防护用品名称</t>
    </r>
    <r>
      <rPr>
        <sz val="11"/>
        <color theme="1"/>
        <rFont val="Tahoma"/>
        <charset val="134"/>
      </rPr>
      <t xml:space="preserve">
</t>
    </r>
    <r>
      <rPr>
        <sz val="11"/>
        <color theme="1"/>
        <rFont val="宋体"/>
        <charset val="134"/>
      </rPr>
      <t>型号规格</t>
    </r>
    <r>
      <rPr>
        <sz val="11"/>
        <color theme="1"/>
        <rFont val="Tahoma"/>
        <charset val="134"/>
      </rPr>
      <t xml:space="preserve">
</t>
    </r>
    <r>
      <rPr>
        <sz val="11"/>
        <color theme="1"/>
        <rFont val="宋体"/>
        <charset val="134"/>
      </rPr>
      <t>配备数量</t>
    </r>
    <r>
      <rPr>
        <sz val="11"/>
        <color theme="1"/>
        <rFont val="Tahoma"/>
        <charset val="134"/>
      </rPr>
      <t xml:space="preserve">
</t>
    </r>
    <r>
      <rPr>
        <sz val="11"/>
        <color theme="1"/>
        <rFont val="宋体"/>
        <charset val="134"/>
      </rPr>
      <t>备注</t>
    </r>
  </si>
  <si>
    <t>①从知识库获取个体防护用品配备明细表
②修改完善表格内容
③提交成果</t>
  </si>
  <si>
    <t>建筑设计卫生个体防护用品</t>
  </si>
  <si>
    <t>生产车间卫生特征分级</t>
  </si>
  <si>
    <t>生产车间卫生特征分级标准表</t>
  </si>
  <si>
    <r>
      <rPr>
        <sz val="11"/>
        <color theme="1"/>
        <rFont val="宋体"/>
        <charset val="134"/>
      </rPr>
      <t>危害因素</t>
    </r>
    <r>
      <rPr>
        <sz val="11"/>
        <color theme="1"/>
        <rFont val="Tahoma"/>
        <charset val="134"/>
      </rPr>
      <t xml:space="preserve">
</t>
    </r>
    <r>
      <rPr>
        <sz val="11"/>
        <color theme="1"/>
        <rFont val="宋体"/>
        <charset val="134"/>
      </rPr>
      <t>卫生特征</t>
    </r>
    <r>
      <rPr>
        <sz val="11"/>
        <color theme="1"/>
        <rFont val="Tahoma"/>
        <charset val="134"/>
      </rPr>
      <t>1</t>
    </r>
    <r>
      <rPr>
        <sz val="11"/>
        <color theme="1"/>
        <rFont val="宋体"/>
        <charset val="134"/>
      </rPr>
      <t>级描述</t>
    </r>
    <r>
      <rPr>
        <sz val="11"/>
        <color theme="1"/>
        <rFont val="Tahoma"/>
        <charset val="134"/>
      </rPr>
      <t xml:space="preserve">
</t>
    </r>
    <r>
      <rPr>
        <sz val="11"/>
        <color theme="1"/>
        <rFont val="宋体"/>
        <charset val="134"/>
      </rPr>
      <t>卫生特征</t>
    </r>
    <r>
      <rPr>
        <sz val="11"/>
        <color theme="1"/>
        <rFont val="Tahoma"/>
        <charset val="134"/>
      </rPr>
      <t>2</t>
    </r>
    <r>
      <rPr>
        <sz val="11"/>
        <color theme="1"/>
        <rFont val="宋体"/>
        <charset val="134"/>
      </rPr>
      <t>级描述</t>
    </r>
    <r>
      <rPr>
        <sz val="11"/>
        <color theme="1"/>
        <rFont val="Tahoma"/>
        <charset val="134"/>
      </rPr>
      <t xml:space="preserve">
</t>
    </r>
    <r>
      <rPr>
        <sz val="11"/>
        <color theme="1"/>
        <rFont val="宋体"/>
        <charset val="134"/>
      </rPr>
      <t>卫生特征</t>
    </r>
    <r>
      <rPr>
        <sz val="11"/>
        <color theme="1"/>
        <rFont val="Tahoma"/>
        <charset val="134"/>
      </rPr>
      <t>3</t>
    </r>
    <r>
      <rPr>
        <sz val="11"/>
        <color theme="1"/>
        <rFont val="宋体"/>
        <charset val="134"/>
      </rPr>
      <t>级描述</t>
    </r>
    <r>
      <rPr>
        <sz val="11"/>
        <color theme="1"/>
        <rFont val="Tahoma"/>
        <charset val="134"/>
      </rPr>
      <t xml:space="preserve">
</t>
    </r>
    <r>
      <rPr>
        <sz val="11"/>
        <color theme="1"/>
        <rFont val="宋体"/>
        <charset val="134"/>
      </rPr>
      <t>卫生特征</t>
    </r>
    <r>
      <rPr>
        <sz val="11"/>
        <color theme="1"/>
        <rFont val="Tahoma"/>
        <charset val="134"/>
      </rPr>
      <t>4</t>
    </r>
    <r>
      <rPr>
        <sz val="11"/>
        <color theme="1"/>
        <rFont val="宋体"/>
        <charset val="134"/>
      </rPr>
      <t>级描述</t>
    </r>
  </si>
  <si>
    <t>①从知识库获取生产车间卫生特征分级标准表
②修改完善表格内容
③提交成果</t>
  </si>
  <si>
    <t>辅助用室及卫生设施</t>
  </si>
  <si>
    <t xml:space="preserve"> 职业健康卫生管理措施方案</t>
  </si>
  <si>
    <t>钻井工程阶段</t>
  </si>
  <si>
    <t>钻井工程阶段管理措施方案表</t>
  </si>
  <si>
    <t>采气工程阶段</t>
  </si>
  <si>
    <t>采气工程阶段管理措施方案表</t>
  </si>
  <si>
    <r>
      <rPr>
        <sz val="11"/>
        <color theme="1"/>
        <rFont val="宋体"/>
        <charset val="134"/>
      </rPr>
      <t>项目名称</t>
    </r>
    <r>
      <rPr>
        <sz val="11"/>
        <color theme="1"/>
        <rFont val="Tahoma"/>
        <charset val="134"/>
      </rPr>
      <t xml:space="preserve">
</t>
    </r>
    <r>
      <rPr>
        <sz val="11"/>
        <color theme="1"/>
        <rFont val="宋体"/>
        <charset val="134"/>
      </rPr>
      <t>施工阶段</t>
    </r>
    <r>
      <rPr>
        <sz val="11"/>
        <color theme="1"/>
        <rFont val="Tahoma"/>
        <charset val="134"/>
      </rPr>
      <t xml:space="preserve">
</t>
    </r>
    <r>
      <rPr>
        <sz val="11"/>
        <color theme="1"/>
        <rFont val="宋体"/>
        <charset val="134"/>
      </rPr>
      <t>危害因素</t>
    </r>
    <r>
      <rPr>
        <sz val="11"/>
        <color theme="1"/>
        <rFont val="Tahoma"/>
        <charset val="134"/>
      </rPr>
      <t>-</t>
    </r>
    <r>
      <rPr>
        <sz val="11"/>
        <color theme="1"/>
        <rFont val="宋体"/>
        <charset val="134"/>
      </rPr>
      <t>危害类型</t>
    </r>
    <r>
      <rPr>
        <sz val="11"/>
        <color theme="1"/>
        <rFont val="Tahoma"/>
        <charset val="134"/>
      </rPr>
      <t xml:space="preserve">
</t>
    </r>
    <r>
      <rPr>
        <sz val="11"/>
        <color theme="1"/>
        <rFont val="宋体"/>
        <charset val="134"/>
      </rPr>
      <t>危害因素</t>
    </r>
    <r>
      <rPr>
        <sz val="11"/>
        <color theme="1"/>
        <rFont val="Tahoma"/>
        <charset val="134"/>
      </rPr>
      <t>-</t>
    </r>
    <r>
      <rPr>
        <sz val="11"/>
        <color theme="1"/>
        <rFont val="宋体"/>
        <charset val="134"/>
      </rPr>
      <t>危害因素</t>
    </r>
    <r>
      <rPr>
        <sz val="11"/>
        <color theme="1"/>
        <rFont val="Tahoma"/>
        <charset val="134"/>
      </rPr>
      <t xml:space="preserve">
</t>
    </r>
    <r>
      <rPr>
        <sz val="11"/>
        <color theme="1"/>
        <rFont val="宋体"/>
        <charset val="134"/>
      </rPr>
      <t>管理对策措施</t>
    </r>
    <r>
      <rPr>
        <sz val="11"/>
        <color theme="1"/>
        <rFont val="Tahoma"/>
        <charset val="134"/>
      </rPr>
      <t xml:space="preserve">
</t>
    </r>
    <r>
      <rPr>
        <sz val="11"/>
        <color theme="1"/>
        <rFont val="宋体"/>
        <charset val="134"/>
      </rPr>
      <t>标准规范依据</t>
    </r>
  </si>
  <si>
    <t>①从知识库获取采气工程阶段管理措施方案表
②修改完善表格内容
③提交成果</t>
  </si>
  <si>
    <t>地面工程阶段</t>
  </si>
  <si>
    <t xml:space="preserve"> 地面工程阶段管理措施表</t>
  </si>
  <si>
    <t>①从知识库获取 地面工程阶段管理措施表
②修改完善表格内容
③提交成果</t>
  </si>
  <si>
    <t>职业健康卫生应急措施方案</t>
  </si>
  <si>
    <t xml:space="preserve"> 钻井工程阶段应急措施表</t>
  </si>
  <si>
    <t>①从知识库获取 钻井工程阶段应急措施表
②修改完善表格内容
③提交成果</t>
  </si>
  <si>
    <t xml:space="preserve"> 采气工程阶段应急措施表</t>
  </si>
  <si>
    <t>①从知识库获取 采气工程阶段应急措施表
②修改完善表格内容
③提交成果</t>
  </si>
  <si>
    <t xml:space="preserve"> 地面工程阶段应急措施表</t>
  </si>
  <si>
    <t>①从知识库获取地面工程阶段应急措施表
②修改完善表格内容
③提交成果</t>
  </si>
  <si>
    <t>职业健康卫生防护措施投资估算</t>
  </si>
  <si>
    <t>防护措施投资估算</t>
  </si>
  <si>
    <t>防护措施投资估算表</t>
  </si>
  <si>
    <r>
      <rPr>
        <sz val="11"/>
        <color theme="1"/>
        <rFont val="宋体"/>
        <charset val="134"/>
      </rPr>
      <t>项目名称</t>
    </r>
    <r>
      <rPr>
        <sz val="11"/>
        <color theme="1"/>
        <rFont val="Tahoma"/>
        <charset val="134"/>
      </rPr>
      <t xml:space="preserve">
</t>
    </r>
    <r>
      <rPr>
        <sz val="11"/>
        <color theme="1"/>
        <rFont val="宋体"/>
        <charset val="134"/>
      </rPr>
      <t>防护类别</t>
    </r>
    <r>
      <rPr>
        <sz val="11"/>
        <color theme="1"/>
        <rFont val="Tahoma"/>
        <charset val="134"/>
      </rPr>
      <t xml:space="preserve">
</t>
    </r>
    <r>
      <rPr>
        <sz val="11"/>
        <color theme="1"/>
        <rFont val="宋体"/>
        <charset val="134"/>
      </rPr>
      <t>防护设备设施名称及型号</t>
    </r>
    <r>
      <rPr>
        <sz val="11"/>
        <color theme="1"/>
        <rFont val="Tahoma"/>
        <charset val="134"/>
      </rPr>
      <t xml:space="preserve">
</t>
    </r>
    <r>
      <rPr>
        <sz val="11"/>
        <color theme="1"/>
        <rFont val="宋体"/>
        <charset val="134"/>
      </rPr>
      <t>单价</t>
    </r>
    <r>
      <rPr>
        <sz val="11"/>
        <color theme="1"/>
        <rFont val="Tahoma"/>
        <charset val="134"/>
      </rPr>
      <t xml:space="preserve">
</t>
    </r>
    <r>
      <rPr>
        <sz val="11"/>
        <color theme="1"/>
        <rFont val="宋体"/>
        <charset val="134"/>
      </rPr>
      <t>数量</t>
    </r>
    <r>
      <rPr>
        <sz val="11"/>
        <color theme="1"/>
        <rFont val="Tahoma"/>
        <charset val="134"/>
      </rPr>
      <t xml:space="preserve">
</t>
    </r>
    <r>
      <rPr>
        <sz val="11"/>
        <color theme="1"/>
        <rFont val="宋体"/>
        <charset val="134"/>
      </rPr>
      <t>投资</t>
    </r>
    <r>
      <rPr>
        <sz val="11"/>
        <color theme="1"/>
        <rFont val="Tahoma"/>
        <charset val="134"/>
      </rPr>
      <t xml:space="preserve">
</t>
    </r>
    <r>
      <rPr>
        <sz val="11"/>
        <color theme="1"/>
        <rFont val="宋体"/>
        <charset val="134"/>
      </rPr>
      <t>备注</t>
    </r>
  </si>
  <si>
    <t>①从知识库获取防护措施投资估算表
②修改完善表格内容
③提交成果</t>
  </si>
  <si>
    <t>结论与建议</t>
  </si>
  <si>
    <t>节能评价</t>
  </si>
  <si>
    <t>项目概况</t>
  </si>
  <si>
    <t>基本概况</t>
  </si>
  <si>
    <t>项目基本概况信息表</t>
  </si>
  <si>
    <t>项目名称、项目类型、气藏埋深、渗透率、气藏厚度、开发方式、部署气井数、部署水井数、新钻气井数、利用老气井数、新钻水井数、利用老水井数、年新增气量、凝析油粘度、年凝析油产量、年新增注水气量、项目年新增能耗、年新增耗电、电力折算标准煤系数、年新增耗气量、天然气折算标准煤系统、其他概况信息。</t>
  </si>
  <si>
    <t>数据提取计算</t>
  </si>
  <si>
    <t>①从气藏工程获取项目基本概况信息表
②修改完善表格内容
③相关数据项自动计算：
 项目年新增能耗（tce） = 年新增电耗（kW·h） × 电力折算标煤系数(kg/kW·h) ÷ 1000 + 年新增耗气量(10⁴m³) × 10000 × 天然气折算标煤系数(kg/m³) ÷ 1000
  电力折算标煤系数（kg/kW·h） = 0.1229 kg/kW·h
  天然气折算标煤系数（kg/m³） = 1.2 kg/m³
  部署气井数 = 新钻气井数 + 利用老气井数
  部署水井数 = 新钻水井数 + 利用老水井数
④提交成果</t>
  </si>
  <si>
    <t>钻井工程概况信息表</t>
  </si>
  <si>
    <t>项目名称、布井方式、布井平台数量</t>
  </si>
  <si>
    <t>①从钻井工程获取钻井工程概况信息表
②修改完善表格内容
③相关数据项自动计算：
布井平台总数 = ∑分布井方式.布井平台数量
④提交成果</t>
  </si>
  <si>
    <t>设计井数情况信息表</t>
  </si>
  <si>
    <t>项目名称、设计总井数、总井开井数、总井关井数、利用老井、老井开井数、老井关井数、设计新井数、新井井均年开井天数</t>
  </si>
  <si>
    <t>①从采气工程获取设计井数情况信息表
②修改完善表格内容
③相关数据项自动计算：
设计总井数 = 利用老井 + 设计新井数
  总井开井数 = 老井开井数 + 设计新井数
  总井关井数 = 老井关井数
④提交成果</t>
  </si>
  <si>
    <t>自喷井情况信息表</t>
  </si>
  <si>
    <t>项目名称、泡排井数、气举井数、小油管井数</t>
  </si>
  <si>
    <t>①从采气工程获取自喷井情况信息表
②修改完善表格内容
③提交成果</t>
  </si>
  <si>
    <t>动力井情况信息表</t>
  </si>
  <si>
    <t>项目名称、生产方式、设计井数、配置电机功率、泵挂深度</t>
  </si>
  <si>
    <t>①从采气工程获取动力井情况信息表
②修改完善表格内容
③提交成果</t>
  </si>
  <si>
    <t>运行保障能耗信息表</t>
  </si>
  <si>
    <t>项目名称、年开井数、年关井数、年井均耗电量、年总耗电量</t>
  </si>
  <si>
    <t>①从采气工程获取运行保障能耗信息表
②修改完善表格内容
③相关数据项自动计算：
年总耗电量 = 年开井数 × 年井均耗电量
④提交成果</t>
  </si>
  <si>
    <t>单井生产运行管理能耗数据表</t>
  </si>
  <si>
    <t>①从采气工程获取单井生产运行管理能耗数据表
②修改完善表格内容
③相关数据项自动计算：
年总耗油量（标煤） = 年消耗柴油量 × 柴油折算标煤系数 + 年消耗汽油量 × 汽油折算标煤系数 
  柴油折算标煤系数（kg/kg） = 1.4571 kg/kg
  汽油折算标煤系数（kg/kg） = 1.4714 kg/kg
④提交成果</t>
  </si>
  <si>
    <t>集输工程</t>
  </si>
  <si>
    <t>集输基本信息表</t>
  </si>
  <si>
    <t>项目名称、气田名称、区块名称、总产能建设规模、集输工艺</t>
  </si>
  <si>
    <t>①从地面工程获取集输基本信息表
②修改完善表格内容
③提交成果</t>
  </si>
  <si>
    <t>设计站场统计信息表</t>
  </si>
  <si>
    <t>项目名称、站场类型、新建数量、扩建数量、总数量、设计年处理能力</t>
  </si>
  <si>
    <t>①从地面工程获取设计站场统计信息表
②修改完善表格内容
③相关数据项自动计算：
总数量 = 新建数量 + 扩建数量
  新建总计 = ∑分站库类型.新建数量
  扩建总计 = ∑分站库类型.扩建数量
  总设计站场 = ∑分站库类型.总数量
  设计总年处理能力 = ∑分站库类型. 设计年处理能力
④提交成果</t>
  </si>
  <si>
    <t>项目实施前用能用水现状</t>
  </si>
  <si>
    <t>实施前区块基本信息</t>
  </si>
  <si>
    <t>实施前区块基本信息表</t>
  </si>
  <si>
    <t>项目名称、区块名称、区块类型、部署气井数、开井数、部署站库数、主要耗能设备</t>
  </si>
  <si>
    <t>EPDC</t>
  </si>
  <si>
    <t>①从EPDC获取实施前区块基本信息表
②修改完善表格内容
③提交成果</t>
  </si>
  <si>
    <t>能耗总量情况</t>
  </si>
  <si>
    <t>项目实施前电力设备总能耗信息表</t>
  </si>
  <si>
    <t>项目名称、区块名称、年总耗电量</t>
  </si>
  <si>
    <t>①从EPDC获取单井生产运行管理能耗数据表
②修改完善表格内容
③相关数据项自动计算：
年总耗电量 = 采气设备耗电信息表. 采气设备年总耗电量 + 站场压缩机年总耗电量 + 站场泵类设备年总耗电量 + 其他耗电设备年总耗电量
④提交成果</t>
  </si>
  <si>
    <t>项目实施前采气设备耗电信息表</t>
  </si>
  <si>
    <t>项目名称、区块名称、气井数量、人工举升排水采气、采气设备年总耗电量</t>
  </si>
  <si>
    <t>①从EPDC获取单井生产运行管理能耗数据表
②修改完善表格内容
③相关数据项自动计算：
采气设备年总耗电量 = 电泵井年总耗电 + 泡排加注设备年总耗电量 + 井口压缩机年总耗电量
④提交成果</t>
  </si>
  <si>
    <t>项目实施前电潜泵井总耗电信息表</t>
  </si>
  <si>
    <t>项目名称、电潜泵井数量、电泵井年总耗电量</t>
  </si>
  <si>
    <t>①从EPDC获取单井生产运行管理能耗数据表
②修改完善表格内容
③相关数据项自动计算：
电泵井年总耗电量 = ∑（电潜泵类型.类型总耗电量）
电潜泵井数量 = ∑（电潜泵类型.总数量）
④提交成果</t>
  </si>
  <si>
    <t>项目实施前电潜泵井分类型耗电信息表</t>
  </si>
  <si>
    <t>项目名称、电潜泵类型、数量、单台功率、单台年均运行时间、单台年耗电量、类型总耗电量</t>
  </si>
  <si>
    <t>①从EPDC获取单井生产运行管理能耗数据表
②修改完善表格内容
③相关数据项自动计算：
单台年计量耗电量：根据单台电泵的智能电表计量来计算获得；
类型总耗电量 = ∑（单台年计量耗电量）
单台年耗电量 = AVG( 类型总耗电量 ) 注：类型总耗电量求平均
单台年运行时间：根据相应电潜泵井的实时数据采集计量获得单台电潜泵的运行时间；
类型 单台年均运行时间 = AVG(单台年运行时间)
④提交成果</t>
  </si>
  <si>
    <t>项目实施前泡排加注设备耗电信息表</t>
  </si>
  <si>
    <t>项目名称、泡排加注设备数量、泡排加注设备年总耗电量</t>
  </si>
  <si>
    <t>①从EPDC获取单井生产运行管理能耗数据表
②修改完善表格内容
③相关数据项自动计算：
 年耗电量：由每台泡排加注设备的计量耗电量求和获得。
④提交成果</t>
  </si>
  <si>
    <t>项目实施前井口压缩机耗电信息表</t>
  </si>
  <si>
    <t>项目名称、井口压缩机数量、压缩机类型、总数量、备用数量、单台功率、单台年均运行时间、单台年均耗电量、类型压缩机总年耗电量</t>
  </si>
  <si>
    <t>①从EPDC获取单井生产运行管理能耗数据表
②修改完善表格内容
③相关数据项自动计算：
单种类型 单台压缩机年耗电量：根据每台压缩机的智能电表计量获得；
单种类型 总耗电量 = ∑（单种类型 单台压缩机年耗电量）
单台年均耗电量 =单种类型 总耗电量 ÷ （单种类型 总数量 – 备用数量）
单台年均运行时间 = AVG（每台压缩机计量年运行时间）
井口压缩机总数量 = ∑单种类型 总数量
井口压缩机年总耗电量 = ∑单种类型 总耗电量
④提交成果</t>
  </si>
  <si>
    <t>项目实施前站场压缩机耗电信息表</t>
  </si>
  <si>
    <t>项目名称、站场压缩机数量、压缩机类型、总数量、备用数量、单台功率、单台年均运行时间、单台年均耗电量、类型压缩机总年耗电量</t>
  </si>
  <si>
    <t>①从EPDC获取单井生产运行管理能耗数据表
②修改完善表格内容
③相关数据项自动计算：
单台站场压缩机耗电量：根据单台压缩机的智能电表计量来计算获得；
单种类型 总耗电量 = ∑（类型 单台站场压缩机耗电量）
单种类型 单台年均耗电量 = 单种类型 总耗电量 ÷ （总数量 – 备用数量）
单台年均运行时间 = AVG（每台压缩机计量年运行时间）
站场压缩机总数量 = ∑单种类型 总数量
站场压缩机年总耗电量 = ∑单种类型 总耗电量
④提交成果</t>
  </si>
  <si>
    <t>项目实施前站场泵类耗电信息表</t>
  </si>
  <si>
    <t>项目名称、站场泵类数量、泵类型、总数量、备用数量、单台功率、单台年均运行时间、单台年均耗电量、泵类型总年耗电量</t>
  </si>
  <si>
    <t>①从EPDC获取单井生产运行管理能耗数据表
②修改完善表格内容
③相关数据项自动计算：
单台泵耗电量：根据单台泵的智能电表计量来计算获得；
单种类型 总耗电量 = ∑（类型 单台泵耗电量）
单种类型单台年均耗电量 = 单种类型 总耗电量 ÷ （总数量 – 备用数量）
单台年均运行时间 = AVG（每台泵计量年运行时间）
站场泵类设备总数量 = ∑单种类型 数量
站场泵类设备总数量 = ∑单种类型 总耗电量
④提交成果</t>
  </si>
  <si>
    <t>项目实施前其他耗电设备耗电信息表</t>
  </si>
  <si>
    <t>项目名称、其它耗电设备量、设备类型、总数量、备用数量、单台功率、单台年均运行时间、单台年均耗电量、其它耗电设备总年耗电量、设备用途描述</t>
  </si>
  <si>
    <t>①从EPDC获取单井生产运行管理能耗数据表
②修改完善表格内容
③相关数据项自动计算：
单台耗电设备耗电量：根据单台设备的智能电表计量来计算获得；
单种类型 其它耗电设备总年耗电量 = ∑（类型 单台设备耗电量）
单种类型单台年均耗电量 = 单种类型 总耗电量 ÷ （总数量 – 备用数量）
单台年均运行时间 = AVG（每台其他耗电设备计量年运行时间）
其它耗电设备总数量 = ∑单种类型 总数量
其它耗电设备年总耗电量 = ∑单种类型 其它耗电设备总年耗电量
④提交成果</t>
  </si>
  <si>
    <t>项目实施前总耗气量信息表</t>
  </si>
  <si>
    <t>项目名称、总耗气量</t>
  </si>
  <si>
    <t>①从EPDC获取单井生产运行管理能耗数据表
②修改完善表格内容
③相关数据项自动计算：
总耗气量 = 井口加热炉年总耗气量 + 站场加热炉年总耗气量 + 站场气驱压缩机年总耗气量 + 其他主要耗气设备年总耗气量
④提交成果</t>
  </si>
  <si>
    <t>项目实施前井场加热炉耗气信息表</t>
  </si>
  <si>
    <t>项目名称、加热炉类型、总数量、备用数量、单台功率、加热炉热效率、年均运行时间、年均耗气量、总耗气量</t>
  </si>
  <si>
    <t>①从EPDC获取单井生产运行管理能耗数据表
②修改完善表格内容
③相关数据项自动计算：
单台加热炉耗气量：根据单台加热炉的燃气流量计计量来计算获得；
单种类型 加热炉总年耗电量 = ∑（类型 单台设备耗气量）
单种类型单台年均耗气量 = 单种类型 加热炉总年耗电量 ÷ （总数量 – 备用数量）
单台年均运行时间 = AVG（每台加热炉采集年运行时间）
井口加热炉总数量 = ∑单种类型 总数量
井口加热炉年总耗气量 = ∑单种类型 加热炉总年耗电量
④提交成果</t>
  </si>
  <si>
    <t>项目实施前站场加热炉耗气信息表</t>
  </si>
  <si>
    <t>①从EPDC获取单井生产运行管理能耗数据表
②修改完善表格内容
③相关数据项自动计算：
单台加热炉耗气量：根据单台加热炉的燃气流量计计量来计算获得；
单种类型 加热炉总年耗气量 = ∑（类型 单台设备耗气量）
单种类型单台年均耗气量 = 单种类型 加热炉总年耗气量 ÷ （总数量 – 备用数量）
单台年均运行时间 = AVG（每台加热炉采集年运行时间）
站场加热炉总数量 = ∑单种类型 总数量
站场加热炉年总耗气量 = ∑单种类型 加热炉总年耗气量
④提交成果</t>
  </si>
  <si>
    <t>项目实施前站场气驱压缩机耗气信息表</t>
  </si>
  <si>
    <t>项目名称、压缩机类型、总数量、备用数量、单台功率、燃气利用系数、年均运行时间、年均耗气量、总耗气量</t>
  </si>
  <si>
    <t>①从EPDC获取单井生产运行管理能耗数据表
②修改完善表格内容
③相关数据项自动计算：
单台气驱压缩机耗气量：根据单台气驱压缩机的燃气流量计计量来计算获得；
单种类型 气驱压缩机总年耗气量 = ∑（类型 单台设备耗气量）
单种类型单台年均耗气量 = 单种类型 气驱压缩机总年耗气量 ÷ （总数量 – 备用数量）
单台年均运行时间 = AVG（每台气驱压缩机采集年运行时间）
站场气驱压缩机总数量 = ∑单种类型 总数量
站场气驱压缩机年总耗气量 = ∑单种类型 气驱压缩机总年耗气量
④提交成果</t>
  </si>
  <si>
    <t>项目实施前其他耗气设备耗气信息表</t>
  </si>
  <si>
    <t>项目名称、耗气设备类型、总数量、备用数量、单台功率、设备热效率、年均运行时间、年均耗气量、总耗气量、设备用途描述</t>
  </si>
  <si>
    <t>①从EPDC获取单井生产运行管理能耗数据表
②修改完善表格内容
③相关数据项自动计算：
单台其他耗气设备耗气量：根据单台其他耗气设备的燃气流量计计量来计算获得；
单种类型 其他耗气设备总年耗气量 = ∑（类型 每台其他耗气设备耗气量）
单种类型单台年均耗气量 = 单种类型 其他耗气设备总年耗气量 ÷ （总数量 – 备用数量）
单台年均运行时间 = AVG（每台其他耗气设备采集年运行时间）
其他耗气设备总数量 = ∑单种类型 总数量
其他耗气设备年总耗气量 = ∑单种类型 其他耗气设备总年耗气量
④提交成果</t>
  </si>
  <si>
    <t>项目实施前区块综合能耗统计信息表</t>
  </si>
  <si>
    <t>项目名称、区块名称、能耗类型、单位、年耗量、折标准煤-系数、年折标准煤-tce、年折标准煤-比例</t>
  </si>
  <si>
    <t>①从EPDC获取单井生产运行管理能耗数据表
②修改完善表格内容
③相关数据项自动计算：
年折标准煤-比例 = 能耗类型 年折标准煤-tce ÷ 年折标准煤-tce总计
  年折标准煤-tce总计 = ∑分能耗种类. 年折标准煤-tce
  电力折算标煤系数（kg/kW·h） = 0.1229 kg/kW·h
  天然气折算标煤系数（kg/m³） = 1.2 kg/m³
  柴油折算标煤系数（kg/kg） = 1.4571 kg/kg
  汽油折算标煤系数（kg/kg） = 1.4714 kg/kg
  液化天然气（LNG）折算标煤系数（kg/kg） = 1.7572 kg/kg
  煤层气折算标煤系数（kg/kg） = 1.11 kg/kg
  原油折算标煤系数（kg/kg） = 1.4286 kg/kg
  煤油折算标煤系数（kg/kg） = 1.4714 kg/kg 
④提交成果</t>
  </si>
  <si>
    <t>能效指标情况</t>
  </si>
  <si>
    <t>项目实施前区块能效指标现状信息表</t>
  </si>
  <si>
    <t>项目名称、区块名称、能效指标名称、单位、年指标值</t>
  </si>
  <si>
    <t>①从EPDC获取单井生产运行管理能耗数据表
②修改完善表格内容
③提交成果</t>
  </si>
  <si>
    <t>新鲜水消耗情况</t>
  </si>
  <si>
    <t>新鲜水消耗情况信息表</t>
  </si>
  <si>
    <t>项目名称、区块名称、来源、用处、年用量</t>
  </si>
  <si>
    <t>①从EPDC获取单井生产运行管理能耗数据表
②修改完善表格内容
③相关数据项自动计算：
 新鲜水总用量 = ∑分用处.年用量；
④提交成果</t>
  </si>
  <si>
    <t>项目综合能耗分析</t>
  </si>
  <si>
    <t>能耗计算</t>
  </si>
  <si>
    <t>生产过程新增设备能耗计算</t>
  </si>
  <si>
    <t>电力设备总能耗信息表</t>
  </si>
  <si>
    <t>①从采气工程获取单井生产运行管理能耗数据表
②修改完善表格内容
③相关数据项自动计算：
年总耗电量 = 采气设备耗电信息表. 采气设备年总耗电量 + 站场压缩机年总耗电量 + 站场泵类设备年总耗电量 + 其他耗电设备年总耗电量
④提交成果</t>
  </si>
  <si>
    <t>采气设备耗电信息表</t>
  </si>
  <si>
    <t>项目名称、新建气井数量、人工举升排水采气、采气设备年总耗电量</t>
  </si>
  <si>
    <t>①从采气工程获取单井生产运行管理能耗数据表
②修改完善表格内容
③相关数据项自动计算：
采气设备年总耗电量 = 电泵井年总耗电 + 泡排加注设备年总耗电量 + 井口压缩机年总耗电量
④提交成果</t>
  </si>
  <si>
    <t>电潜泵井总耗电信息表</t>
  </si>
  <si>
    <t>①从采气工程获取单井生产运行管理能耗数据表
②修改完善表格内容
③相关数据项自动计算：
电泵井年总耗电量 = ∑（电潜泵类型.类型总耗电量）
④提交成果</t>
  </si>
  <si>
    <t>电潜泵井分类型耗电数据信息表</t>
  </si>
  <si>
    <t>①从采气工程获取单井生产运行管理能耗数据表
②修改完善表格内容
③相关数据项自动计算：
单台年耗电量 = ∑（单台功率 × 单台年均运行时间）
  类型总耗电量 = 电潜泵类型数量 × 单台年耗电量
④提交成果</t>
  </si>
  <si>
    <t>泡排加注设备耗电信息表</t>
  </si>
  <si>
    <t>①从采气工程获取单井生产运行管理能耗数据表
②修改完善表格内容
③提交成果</t>
  </si>
  <si>
    <t>井口压缩机耗电信息表</t>
  </si>
  <si>
    <t>①从采气工程获取单井生产运行管理能耗数据表
②修改完善表格内容
③相关数据项自动计算：
单种类型单台 单台年均耗电量 = 单台功率 × 单台年均运行时间 
  单种类型 总耗电量 = （总数量 – 备用数量）× 年均耗电量
  井口压缩机总数量 = ∑单种类型 数量
  井口压缩机年总耗电量 = ∑单种类型 总耗电量
④提交成果</t>
  </si>
  <si>
    <t>站场压缩机耗电信息表</t>
  </si>
  <si>
    <t>①从采气工程获取单井生产运行管理能耗数据表
②修改完善表格内容
③相关数据项自动计算：
单种类型单台 单台年均耗电量 = 单台功率 × 单台年均运行时间 
  单种类型 总耗电量 = 总数量 × 单台年均耗电量
  站场压缩机总数量 = ∑单种类型 数量
  站场压缩机年总耗电量 = ∑单种类型 总耗电量
④提交成果</t>
  </si>
  <si>
    <t>站场泵类耗电信息表</t>
  </si>
  <si>
    <t>①从采气工程获取单井生产运行管理能耗数据表
②修改完善表格内容
③相关数据项自动计算：
单种类型单台 单台年均耗电量 = 单台功率 × 单台年均运行时间 
  单种类型 总耗电量 = 总数量 × 单台年均耗电量
  站场泵类设备总数量 = ∑单种类型 数量
  站场泵类设备总数量 = ∑单种类型 总耗电量
④提交成果</t>
  </si>
  <si>
    <t>其它耗电设备耗电信息表</t>
  </si>
  <si>
    <t>①从采气工程获取单井生产运行管理能耗数据表
②修改完善表格内容
③相关数据项自动计算：
单种类型单台 单台年均耗电量 = 单台功率 × 单台年均运行时间 
  单种类型 其它耗电设备总年耗电量 = 总数量 × 单台年均耗电量
  其它耗电设备总数量 = ∑单种类型 数量
  其它耗电设备年总耗电量 = ∑单种类型 其它耗电设备总年耗电量
④提交成果</t>
  </si>
  <si>
    <t>总耗气量信息表</t>
  </si>
  <si>
    <t>①从采气工程获取单井生产运行管理能耗数据表
②修改完善表格内容
③相关数据项自动计算：
总耗气量 = 井口新建加热炉年总耗气量 + 站场新建加热炉年总耗气量 + 站场新建气驱压缩机年总耗气量 + 其他主要耗气设备年总耗气量
④提交成果</t>
  </si>
  <si>
    <t>井场加热炉耗气信息表</t>
  </si>
  <si>
    <t>项目名称、加热炉类型、总数量、备用数量、单台功率、加热炉热效率、燃气热值、年均运行时间、年均耗气量、总耗气量</t>
  </si>
  <si>
    <t>①从采气工程获取单井生产运行管理能耗数据表
②修改完善表格内容
③相关数据项自动计算：
燃气热值 = 35.53 MJ/Nm³
  加热炉热效率 = 0.85
  单种类型单台 单台年均耗气量 = （单台功率× 1000 × 3600J/h） ÷ （燃气热值 × 1000000 J/m³× 加热炉热效率） × 年均运行时间 
  单种类型 总耗气量 = 总数量 × 单台年均耗气量
④提交成果</t>
  </si>
  <si>
    <t>站场加热炉耗气信息表</t>
  </si>
  <si>
    <t>①从采气工程获取单井生产运行管理能耗数据表
②修改完善表格内容
③相关数据项自动计算：
 燃气热值 = 35.53 MJ/Nm³
  加热炉热效率 = 0.85
  单种类型单台 单台年均耗气量 = （单台功率× 1000 × 3600J/h） ÷ （燃气热值 × 1000000 J/m³× 加热炉热效率） × 年均运行时间 
  单种类型 总耗气量 = 总数量 × 单台年均耗气量
  站场新建加热炉总数量 = ∑单种类型 数量
  站场新建加热炉年总耗气量 = ∑单种类型 年均耗气量
④提交成果</t>
  </si>
  <si>
    <t>站场气驱压缩机耗气信息表</t>
  </si>
  <si>
    <t>项目名称、压缩机类型、总数量、备用数量、单台功率、燃气利用系数、燃气热值、年均运行时间、年均耗气量、总耗气量</t>
  </si>
  <si>
    <t>①从采气工程获取单井生产运行管理能耗数据表
②修改完善表格内容
③相关数据项自动计算：
燃气热值 = 35.53 MJ/Nm³
  燃气利用系数 = 0.85
  单种类型单台 单台年均耗气量 = （单台功率× 1000 × 3600J/h）÷ （燃气热值 × 1000000 J/m³× 燃气利用系数）× 年均运行时间 
  单种类型 总耗气量 = 总数量 × 单台年均耗气量
  站场新建气驱压缩机总数量 = ∑单种类型 数量
  站场新建气驱压缩机年总耗气量 = ∑单种类型 年均耗气量
④提交成果</t>
  </si>
  <si>
    <t>其他耗气设备耗气信息表</t>
  </si>
  <si>
    <t>项目名称、耗气设备类型、总数量、备用数量、单台功率、设备热效率、燃气热值、年均运行时间、年均耗气量、总耗气量、设备用途描述</t>
  </si>
  <si>
    <t>①从采气工程获取单井生产运行管理能耗数据表
②修改完善表格内容
③相关数据项自动计算：
燃气热值 = 35.53 MJ/Nm³
  加热炉热效率 = 0.85
  单种类型单台 单台年均耗气量 = （单台功率× 1000 × 3600J/h） ÷ （燃气热值 × 1000000 J/m³× 设备热效率） × 年均运行时间 
  单种类型 总耗气量 = 总数量 × 单台年均耗气量
  单种类型 总耗气量 = 总数量 × 单台年均耗气量
  其他主要耗气设备总数量 = ∑单种类型 数量
  其他主要耗气设备年总耗气量 = ∑单种类型 年均耗气量
④提交成果</t>
  </si>
  <si>
    <t>生产过程利用原设备新增能耗计算</t>
  </si>
  <si>
    <t>年新增压缩气耗电量信息表</t>
  </si>
  <si>
    <t>项目名称、年新增压缩机耗电量、年新增压缩气量、压缩气单耗</t>
  </si>
  <si>
    <t>①从采气工程获取单井生产运行管理能耗数据表
②修改完善表格内容
③相关数据项自动计算：
年新增压缩气耗电量 = 年新增压缩气量(104m3 )× 压缩气单耗 (kw.h / 104m3 ）
④提交成果</t>
  </si>
  <si>
    <t>年新增输液耗电量信息表</t>
  </si>
  <si>
    <t>项目名称、年新输液耗电量、年新新增输液量、输液单耗</t>
  </si>
  <si>
    <t>①从采气工程获取单井生产运行管理能耗数据表
②修改完善表格内容
③相关数据项自动计算：
年新增输液耗电量 = 年新增输液量（m³） × 输液单耗（kW.h/m³）
④提交成果</t>
  </si>
  <si>
    <t>年新增压缩耗气量信息表</t>
  </si>
  <si>
    <t>项目名称、年新增压缩机耗气量、年新增压缩气量、压缩气单耗</t>
  </si>
  <si>
    <t>①从采气工程获取单井生产运行管理能耗数据表
②修改完善表格内容
③相关数据项自动计算：
年新增压缩耗气量 = 年新增压缩气量(104m3)× 压缩气单耗(m³/104m3）
④提交成果</t>
  </si>
  <si>
    <t>年新增加热耗气量信息表</t>
  </si>
  <si>
    <t>项目名称、年新增加热耗气量、年新增加热气量、加热气单耗</t>
  </si>
  <si>
    <t>①从采气工程获取单井生产运行管理能耗数据表
②修改完善表格内容
③相关数据项自动计算：
年新增加热耗气量 = 年新增加热气量(104m3 )× 加热气单耗 (m³ / 104m3 ）
④提交成果</t>
  </si>
  <si>
    <t>设计新鲜水消消耗信息表</t>
  </si>
  <si>
    <t>①从采气工程获取单井生产运行管理能耗数据表
②修改完善表格内容
③相关数据项自动计算：
新鲜水总用量 = ∑分用处.年用量；
④提交成果</t>
  </si>
  <si>
    <t>生产过程综合能耗</t>
  </si>
  <si>
    <t>综合能耗对比信息表</t>
  </si>
  <si>
    <t>①从采气工程获取单井生产运行管理能耗数据表
②修改完善表格内容
③相关数据项自动计算：
年耗量差值（增量） = 实施后年耗量 - 实施前年耗量
  新增年耗量-tce = 年耗量差值（增量） × 新增年耗量-系数
  新增年总耗量标煤 = ∑新增年耗量-tce
  比例（100%） = 新增年耗量-tce ÷ 新增年总耗量标煤
  电力折算标煤系数（kg/kW·h） = 0.1229 kg/kW·h
  天然气折算标煤系数（kg/m³） = 1.2 kg/m³
  柴油折算标煤系数（kg/kg） = 1.4571 kg/kg
  汽油折算标煤系数（kg/kg） = 1.4714 kg/kg
  液化天然气（LNG）折算标煤系数（kg/kg） = 1.7572 kg/kg
  煤层气折算标煤系数（kg/kg） = 1.11 kg/kg
  原油折算标煤系数（kg/kg） = 1.4286 kg/kg
  煤油折算标煤系数（kg/kg） = 1.4714 kg/kg 
④提交成果</t>
  </si>
  <si>
    <t>能源供应分析</t>
  </si>
  <si>
    <t>供电系统信息表</t>
  </si>
  <si>
    <t>项目名称、供电系统名称、经济供电能力、目前线路总负荷、赋能能力富余、项目新装机容量、能否满足用电要求</t>
  </si>
  <si>
    <t>①从采气工程获取单井生产运行管理能耗数据表
②修改完善表格内容
③相关数据项自动计算：
负荷能力富余 = 经济供电能力 - 目前线路总负荷
  能否满足用电要求 = 负荷能力富余 &gt; 项目新装机容量
④提交成果</t>
  </si>
  <si>
    <t>新鲜水供应情况信息表</t>
  </si>
  <si>
    <t>项目名称、用处、日均用量、来源、日供应能力、能否满足用水要求</t>
  </si>
  <si>
    <t>①从采气工程获取单井生产运行管理能耗数据表
②修改完善表格内容
③相关数据项自动计算：
能否满足用水要求 = 日供应能力 &gt; 日均用量
④提交成果</t>
  </si>
  <si>
    <t>偏远地区天然气发电信息表</t>
  </si>
  <si>
    <t>项目名称、用处、发电功率、日用电需求</t>
  </si>
  <si>
    <t>单耗及效率对比分析</t>
  </si>
  <si>
    <t>单耗及效率对比分析信息表</t>
  </si>
  <si>
    <t>项目名称、能效指标名称、计量单位、项目年指标、节能年评价值、实施前区块年指标</t>
  </si>
  <si>
    <t>①根据项目所属气田从知识库获取单耗及效率对比分析
②修改完善文本内容
③提交成果</t>
  </si>
  <si>
    <t>节能措施评价</t>
  </si>
  <si>
    <t>采气工程节能措施评价</t>
  </si>
  <si>
    <t>①根据项目所属气田从知识库获取采气工程节能措施评价
②修改完善文本内容
③提交成果</t>
  </si>
  <si>
    <t>集输工程节能措施评价</t>
  </si>
  <si>
    <t>①根据项目所属气田从知识库获取集输工程节能措施评价
②修改完善文本内容
③提交成果</t>
  </si>
  <si>
    <t>天然气处理净化</t>
  </si>
  <si>
    <t>天然气净化处理评价</t>
  </si>
  <si>
    <t>①根据项目所属气田从知识库获取天然气净化处理评价
②修改完善文本内容
③提交成果</t>
  </si>
  <si>
    <t>伴生气处理评价</t>
  </si>
  <si>
    <t>①根据项目所属气田从知识库获取伴生气处理评价
②修改完善文本内容
③提交成果</t>
  </si>
  <si>
    <t>酸性气处理评价</t>
  </si>
  <si>
    <t>①根据项目所属气田从知识库获取酸性气处理评价
②修改完善文本内容
③提交成果</t>
  </si>
  <si>
    <t>公用工程</t>
  </si>
  <si>
    <t>公用工程节能措施评价</t>
  </si>
  <si>
    <t>①根据项目所属气田从知识库获取公用工程节能措施评价
②修改完善文本内容
③提交成果</t>
  </si>
  <si>
    <t>新能源利用情况</t>
  </si>
  <si>
    <t>系能源利用情况</t>
  </si>
  <si>
    <t>①根据项目所属气田从知识库获取系能源利用情况
②修改完善文本内容
③提交成果</t>
  </si>
  <si>
    <t>节能设备选型情况</t>
  </si>
  <si>
    <t>节能设备选型情况信息表</t>
  </si>
  <si>
    <t>项目名称、设备名称、数量、规格参数、型号及能效水平、评价结果</t>
  </si>
  <si>
    <t>闲置及低效资产利旧情况</t>
  </si>
  <si>
    <t>闲置及低效资产利旧情况信息表</t>
  </si>
  <si>
    <t>项目名称、闲置及低效资产名称、状态、原使用率、实施后使用率</t>
  </si>
  <si>
    <t>能源计量器具配备</t>
  </si>
  <si>
    <t>计量器具选型信息表</t>
  </si>
  <si>
    <t>项目名称、设备名称、位置、等级、数量</t>
  </si>
  <si>
    <t>计量器具选型依据</t>
  </si>
  <si>
    <t>①根据项目所属气田从知识库获取计量器具选型依据
②修改完善文本内容
③提交成果</t>
  </si>
  <si>
    <t>计量器具配备评价信息表</t>
  </si>
  <si>
    <t>项目名称、能源计量类型、电力应安装、电力拟安装、电力配备率、电力标准要求配备率、电力在线计量转储率、天然气应安装、天然气拟安装、天然气配备率、天然气标准要求配备率、天然气在线计量转储率、新鲜水应安装、新鲜水拟安装、新鲜水配备率、新鲜水标准要求配备率、新鲜水在线计量转储率</t>
  </si>
  <si>
    <t>①从采气工程获取单井生产运行管理能耗数据表
②修改完善表格内容
③相关数据项自动计算：
配备率 = 拟安装 / 应安装 × 100%
  转储数 = 拟安装数 × 在线计量转储率
  达标配备数 = 应安装数 × 配备率
  合计应安装 = ∑分类型应安装
  合计拟安装 = ∑分类型拟安装数
  合计达标配备数 = ∑分类型达标配备数
  合计配备率 = 合计应安装 ÷ 合计拟安装数 × 100%
  合计标准要求配备率 = 合计达标配备数 ÷ 合计应安装
  合计转储数 = ∑分类型转储数
  合计转储率 = 合计转储数 ÷ 合计应安装 × 100%
④提交成果</t>
  </si>
  <si>
    <t>碳排放计算及评价</t>
  </si>
  <si>
    <t>碳排放源识别</t>
  </si>
  <si>
    <t>碳排放边界信息表</t>
  </si>
  <si>
    <t>排放源识别情况汇总信息表</t>
  </si>
  <si>
    <t>碳排放量计算</t>
  </si>
  <si>
    <t>节能评价碳排放因子执行依据</t>
  </si>
  <si>
    <t>①根据项目所属气田从知识库获取节能评价碳排放因子执行依据
②修改完善文本内容
③提交成果</t>
  </si>
  <si>
    <t>节能评价碳排放因子执行依据信息表</t>
  </si>
  <si>
    <t>节能评价碳排放平均低位发热量</t>
  </si>
  <si>
    <t>①根据项目所属气田从知识库获取节能评价碳排放平均低位发热量
②修改完善文本内容
③提交成果</t>
  </si>
  <si>
    <t>节能评价碳排放平均低位发热量依据信息表</t>
  </si>
  <si>
    <t>项目名称、执行标准名称、执行标准编号、发布单位、发布日期、使用企业或业务</t>
  </si>
  <si>
    <t>碳排放增量情况汇总信息表</t>
  </si>
  <si>
    <t>项目名称、设施名称、消耗能源种类、计量单位、数量、排放因子、平均低位发热量、年折算标煤</t>
  </si>
  <si>
    <t>地面工程/知识库</t>
  </si>
  <si>
    <t>①从采气工程获取单井生产运行管理能耗数据表
②修改完善表格内容
③相关数据项自动计算：
天然气（t） = 天然气立方(104m3) × 10000 × 0.7174(kg/m³) ÷ 1000kg/t
  碳排放量(tCO2e) = 数量转化为t × 1000 （kg/t）× 平均低位发热量（kJ/kg） ÷ 10^9 TJ/kJ * 排放因子（kg/TJ） ÷ 1000 kg/t
  年折算标煤总计 = ∑分设备.年折算标煤
④提交成果</t>
  </si>
  <si>
    <t>碳排放强度评价</t>
  </si>
  <si>
    <t>碳排放指标对比信息表</t>
  </si>
  <si>
    <r>
      <rPr>
        <b/>
        <sz val="10"/>
        <color theme="1"/>
        <rFont val="微软雅黑"/>
        <charset val="134"/>
      </rPr>
      <t>气藏工程：</t>
    </r>
    <r>
      <rPr>
        <sz val="10"/>
        <color theme="1"/>
        <rFont val="微软雅黑"/>
        <charset val="134"/>
      </rPr>
      <t xml:space="preserve">预计年产油气当量
</t>
    </r>
    <r>
      <rPr>
        <b/>
        <sz val="10"/>
        <color theme="1"/>
        <rFont val="微软雅黑"/>
        <charset val="134"/>
      </rPr>
      <t>知识库：</t>
    </r>
    <r>
      <rPr>
        <sz val="10"/>
        <color theme="1"/>
        <rFont val="微软雅黑"/>
        <charset val="134"/>
      </rPr>
      <t>商品率、原油价格</t>
    </r>
  </si>
  <si>
    <t>气藏工程/知识库</t>
  </si>
  <si>
    <t>①从采气工程获取单井生产运行管理能耗数据表
②修改完善表格内容
③相关数据项自动计算：
单位产值碳排放量（tCO2e/万元）=年碳排放总量/年项目产值
单位油气碳排放量 = 年碳排放总量/年产油气当量
项目产值公式 = 年产油气量×商品率×原油价格
④提交成果</t>
  </si>
  <si>
    <t>单位产值碳排放量低于区块现状指标原因分析</t>
  </si>
  <si>
    <t>①根据项目所属气田从知识库获取单位产值碳排放量低于区块现状指标原因分析
②修改完善文本内容
③提交成果</t>
  </si>
  <si>
    <t>碳排放经济性评价</t>
  </si>
  <si>
    <t>①根据项目所属气田从知识库获取碳排放经济性评价
②修改完善文本内容
③提交成果</t>
  </si>
  <si>
    <t>风险评估与建议</t>
  </si>
  <si>
    <t>风险评估</t>
  </si>
  <si>
    <t>节能风险评估</t>
  </si>
  <si>
    <t>①根据项目所属气田从知识库获取节能风险评估
②修改完善文本内容
③提交成果</t>
  </si>
  <si>
    <t>节能建议</t>
  </si>
  <si>
    <t>①根据项目所属气田从知识库获取节能建议
②修改完善文本内容
③提交成果</t>
  </si>
  <si>
    <t>碳排放评价</t>
  </si>
  <si>
    <t>项目概述</t>
  </si>
  <si>
    <t>项目生产规模</t>
  </si>
  <si>
    <t>①从知识库获取项目生产规模
②修改完善文档内容
③提交成果</t>
  </si>
  <si>
    <t>碳排放评价项目生产规模概况</t>
  </si>
  <si>
    <t>①从知识库获取碳排放评价项目生产规模概况
②修改完善文档内容
③提交成果</t>
  </si>
  <si>
    <t>碳排放评价项目方法及工艺原理</t>
  </si>
  <si>
    <t>①从知识库获取碳排放评价项目方法及工艺原理
②修改完善文档内容
③提交成果</t>
  </si>
  <si>
    <t>碳排放评价项目总体工艺路线图</t>
  </si>
  <si>
    <t>①从知识库获取碳排放评价项目总体工艺路线图
②提交成果</t>
  </si>
  <si>
    <t>项目碳排放评价编制依据</t>
  </si>
  <si>
    <t>排放因子执行依据信息表</t>
  </si>
  <si>
    <t>①从知识库获取排放因子执行依据信息表
②修改完善表格内容
③提交成果</t>
  </si>
  <si>
    <t>碳排放评价国家法律法规产业政策信息表</t>
  </si>
  <si>
    <t>项目名称、法律法规名称、法律法规编号、发布单位、发布日期</t>
  </si>
  <si>
    <t>①从知识库获取碳排放评价国家法律法规产业政策信息表
②修改完善表格内容
③提交成果</t>
  </si>
  <si>
    <t>碳排放评价地方法规产业政策信息表</t>
  </si>
  <si>
    <t>项目名称、法规名称、法规编号、发布单位、发布日期</t>
  </si>
  <si>
    <t>①从知识库获取碳排放评价地方法规产业政策信息表
②修改完善表格内容
③提交成果</t>
  </si>
  <si>
    <t>碳排放评价国家标准规范信息表</t>
  </si>
  <si>
    <t>项目名称、标准名称、标准编号、发布单位、发布日期</t>
  </si>
  <si>
    <t>①从知识库获取碳排放评价国家标准规范信息表
②修改完善表格内容
③提交成果</t>
  </si>
  <si>
    <t>碳排放评价地方标准规范信息表</t>
  </si>
  <si>
    <t>①从知识库获取碳排放评价地方标准规范信息表
②修改完善表格内容
③提交成果</t>
  </si>
  <si>
    <t>碳排放评价行业标准规范信息表</t>
  </si>
  <si>
    <t>①从知识库获取碳排放评价行业标准规范信息表
②修改完善表格内容
③提交成果</t>
  </si>
  <si>
    <t>碳排放评价企业标准规范信息表</t>
  </si>
  <si>
    <t>①从知识库获取碳排放评价企业标准规范信息表
②修改完善表格内容
③提交成果</t>
  </si>
  <si>
    <t>碳排放评价温室气体排放核算方法与报告指南信息表</t>
  </si>
  <si>
    <t>项目名称、指南名称、指南编号、发布单位、发布日期、使用企业或业务</t>
  </si>
  <si>
    <t>①从知识库获取碳排放评价温室气体排放核算方法与报告指南信息表
②修改完善表格内容
③提交成果</t>
  </si>
  <si>
    <t>碳排放评价国家（地方）碳配额分配方案</t>
  </si>
  <si>
    <t>①从知识库获取碳排放评价国家（地方）碳配额分配方案
②修改完善文档内容
③提交成果</t>
  </si>
  <si>
    <t>碳排放评价国家（地方）碳交易市场政策与行情</t>
  </si>
  <si>
    <t>①从知识库获取碳排放评价国家（地方）碳交易市场政策与行情
②修改完善文档内容
③提交成果</t>
  </si>
  <si>
    <t>碳排放评价文件合同依据信息表</t>
  </si>
  <si>
    <t>项目名称、文件名称、文件编号、发布单位、发布日期</t>
  </si>
  <si>
    <t>①从知识库获取钻井工程概况信息表
②修改完善表格内容
③提交成果</t>
  </si>
  <si>
    <t>项目碳排放源识别及监测情况</t>
  </si>
  <si>
    <t xml:space="preserve"> 碳排放源情况</t>
  </si>
  <si>
    <t>排放源识别情况汇总数据信息表</t>
  </si>
  <si>
    <t>地面工程中设施提取，从中筛选识别碳排放源</t>
  </si>
  <si>
    <t>碳排放监测情况</t>
  </si>
  <si>
    <t>监测数据质量控制计划信息表</t>
  </si>
  <si>
    <t>燃油、燃气、排空等的计量设备设施，从地面工程中的设计中提取；设备设施校验标准如果在地面工程中编制，直接从地面工程中提取</t>
  </si>
  <si>
    <t>项目碳排放计算</t>
  </si>
  <si>
    <t>①从知识库获取碳排放量计算
②修改完善文档内容
③提交成果</t>
  </si>
  <si>
    <t>碳排放评价碳排放因子执行依据信息表</t>
  </si>
  <si>
    <r>
      <rPr>
        <sz val="11"/>
        <color theme="1"/>
        <rFont val="宋体"/>
        <charset val="134"/>
      </rPr>
      <t>项目名称</t>
    </r>
    <r>
      <rPr>
        <sz val="11"/>
        <color theme="1"/>
        <rFont val="Tahoma"/>
        <charset val="134"/>
      </rPr>
      <t xml:space="preserve">
</t>
    </r>
    <r>
      <rPr>
        <sz val="11"/>
        <color theme="1"/>
        <rFont val="宋体"/>
        <charset val="134"/>
      </rPr>
      <t>标准名称</t>
    </r>
    <r>
      <rPr>
        <sz val="11"/>
        <color theme="1"/>
        <rFont val="Tahoma"/>
        <charset val="134"/>
      </rPr>
      <t xml:space="preserve">
</t>
    </r>
    <r>
      <rPr>
        <sz val="11"/>
        <color theme="1"/>
        <rFont val="宋体"/>
        <charset val="134"/>
      </rPr>
      <t>标准编号</t>
    </r>
    <r>
      <rPr>
        <sz val="11"/>
        <color theme="1"/>
        <rFont val="Tahoma"/>
        <charset val="134"/>
      </rPr>
      <t xml:space="preserve">
</t>
    </r>
    <r>
      <rPr>
        <sz val="11"/>
        <color theme="1"/>
        <rFont val="宋体"/>
        <charset val="134"/>
      </rPr>
      <t>发布单位</t>
    </r>
    <r>
      <rPr>
        <sz val="11"/>
        <color theme="1"/>
        <rFont val="Tahoma"/>
        <charset val="134"/>
      </rPr>
      <t xml:space="preserve">
</t>
    </r>
    <r>
      <rPr>
        <sz val="11"/>
        <color theme="1"/>
        <rFont val="宋体"/>
        <charset val="134"/>
      </rPr>
      <t>发布日期</t>
    </r>
  </si>
  <si>
    <t>①从知识库获取碳排放评价碳排放因子执行依据信息表
②修改完善表格内容
③提交成果</t>
  </si>
  <si>
    <t>碳排放评价碳排放平均低位发热量依据信息表</t>
  </si>
  <si>
    <t>①从知识库获取碳排放评价碳排放平均低位发热量依据信息表
②修改完善表格内容
③提交成果</t>
  </si>
  <si>
    <t>碳排放评价碳排放增量情况汇总信息表</t>
  </si>
  <si>
    <r>
      <rPr>
        <sz val="11"/>
        <color theme="1"/>
        <rFont val="宋体"/>
        <charset val="134"/>
      </rPr>
      <t>项目名称</t>
    </r>
    <r>
      <rPr>
        <sz val="11"/>
        <color theme="1"/>
        <rFont val="Tahoma"/>
        <charset val="134"/>
      </rPr>
      <t xml:space="preserve">
</t>
    </r>
    <r>
      <rPr>
        <sz val="11"/>
        <color theme="1"/>
        <rFont val="宋体"/>
        <charset val="134"/>
      </rPr>
      <t>设施名称</t>
    </r>
    <r>
      <rPr>
        <sz val="11"/>
        <color theme="1"/>
        <rFont val="Tahoma"/>
        <charset val="134"/>
      </rPr>
      <t xml:space="preserve">
</t>
    </r>
    <r>
      <rPr>
        <sz val="11"/>
        <color theme="1"/>
        <rFont val="宋体"/>
        <charset val="134"/>
      </rPr>
      <t>消耗能源种类</t>
    </r>
    <r>
      <rPr>
        <sz val="11"/>
        <color theme="1"/>
        <rFont val="Tahoma"/>
        <charset val="134"/>
      </rPr>
      <t xml:space="preserve">
</t>
    </r>
    <r>
      <rPr>
        <sz val="11"/>
        <color theme="1"/>
        <rFont val="宋体"/>
        <charset val="134"/>
      </rPr>
      <t>计量单位</t>
    </r>
    <r>
      <rPr>
        <sz val="11"/>
        <color theme="1"/>
        <rFont val="Tahoma"/>
        <charset val="134"/>
      </rPr>
      <t xml:space="preserve">
</t>
    </r>
    <r>
      <rPr>
        <sz val="11"/>
        <color theme="1"/>
        <rFont val="宋体"/>
        <charset val="134"/>
      </rPr>
      <t>数量</t>
    </r>
    <r>
      <rPr>
        <sz val="11"/>
        <color theme="1"/>
        <rFont val="Tahoma"/>
        <charset val="134"/>
      </rPr>
      <t xml:space="preserve">
</t>
    </r>
    <r>
      <rPr>
        <sz val="11"/>
        <color theme="1"/>
        <rFont val="宋体"/>
        <charset val="134"/>
      </rPr>
      <t>排放因子</t>
    </r>
    <r>
      <rPr>
        <sz val="11"/>
        <color theme="1"/>
        <rFont val="Tahoma"/>
        <charset val="134"/>
      </rPr>
      <t xml:space="preserve">
</t>
    </r>
    <r>
      <rPr>
        <sz val="11"/>
        <color theme="1"/>
        <rFont val="宋体"/>
        <charset val="134"/>
      </rPr>
      <t>平均低位发热量</t>
    </r>
    <r>
      <rPr>
        <sz val="11"/>
        <color theme="1"/>
        <rFont val="Tahoma"/>
        <charset val="134"/>
      </rPr>
      <t xml:space="preserve">
</t>
    </r>
    <r>
      <rPr>
        <sz val="11"/>
        <color theme="1"/>
        <rFont val="宋体"/>
        <charset val="134"/>
      </rPr>
      <t>年折算标煤</t>
    </r>
  </si>
  <si>
    <t>①从知识库获取碳排放评价碳排放增量情况汇总信息表
②修改完善表格内容
③提交成果</t>
  </si>
  <si>
    <t>碳排放强度计算</t>
  </si>
  <si>
    <t>项目碳排放总量信息表</t>
  </si>
  <si>
    <r>
      <rPr>
        <sz val="11"/>
        <color theme="1"/>
        <rFont val="宋体"/>
        <charset val="134"/>
      </rPr>
      <t>项目名称</t>
    </r>
    <r>
      <rPr>
        <sz val="11"/>
        <color theme="1"/>
        <rFont val="Tahoma"/>
        <charset val="134"/>
      </rPr>
      <t xml:space="preserve">
</t>
    </r>
    <r>
      <rPr>
        <sz val="11"/>
        <color theme="1"/>
        <rFont val="宋体"/>
        <charset val="134"/>
      </rPr>
      <t>项目碳排放总量</t>
    </r>
  </si>
  <si>
    <t>①从EPDC获取项目碳排放总量信息表
②修改完善表格内容
③提交成果</t>
  </si>
  <si>
    <t>单位工业增加值碳排放信息表</t>
  </si>
  <si>
    <r>
      <rPr>
        <sz val="11"/>
        <color theme="1"/>
        <rFont val="宋体"/>
        <charset val="134"/>
      </rPr>
      <t>项目名称</t>
    </r>
    <r>
      <rPr>
        <sz val="11"/>
        <color theme="1"/>
        <rFont val="Tahoma"/>
        <charset val="134"/>
      </rPr>
      <t xml:space="preserve">
</t>
    </r>
    <r>
      <rPr>
        <sz val="11"/>
        <color theme="1"/>
        <rFont val="宋体"/>
        <charset val="134"/>
      </rPr>
      <t>年工业增加值
单位工业增加值碳排放</t>
    </r>
  </si>
  <si>
    <t>①从EPDC获取单位工业增加值碳排放信息表
②修改完善表格内容
③提交成果</t>
  </si>
  <si>
    <t>单位工业总产值碳排放信息表</t>
  </si>
  <si>
    <r>
      <rPr>
        <sz val="11"/>
        <color theme="1"/>
        <rFont val="宋体"/>
        <charset val="134"/>
      </rPr>
      <t>项目名称</t>
    </r>
    <r>
      <rPr>
        <sz val="11"/>
        <color theme="1"/>
        <rFont val="Tahoma"/>
        <charset val="134"/>
      </rPr>
      <t xml:space="preserve">
</t>
    </r>
    <r>
      <rPr>
        <sz val="11"/>
        <color theme="1"/>
        <rFont val="宋体"/>
        <charset val="134"/>
      </rPr>
      <t>年工业总产值</t>
    </r>
    <r>
      <rPr>
        <sz val="11"/>
        <color theme="1"/>
        <rFont val="Tahoma"/>
        <charset val="134"/>
      </rPr>
      <t xml:space="preserve">
</t>
    </r>
    <r>
      <rPr>
        <sz val="11"/>
        <color theme="1"/>
        <rFont val="宋体"/>
        <charset val="134"/>
      </rPr>
      <t>单位工业总产值碳排放</t>
    </r>
  </si>
  <si>
    <t>①从EPDC获取单位工业总产值碳排放信息表
②修改完善表格内容
③提交成果</t>
  </si>
  <si>
    <t>单位产品碳排放信息表</t>
  </si>
  <si>
    <r>
      <rPr>
        <sz val="11"/>
        <color theme="1"/>
        <rFont val="宋体"/>
        <charset val="134"/>
      </rPr>
      <t>项目名称</t>
    </r>
    <r>
      <rPr>
        <sz val="11"/>
        <color theme="1"/>
        <rFont val="Tahoma"/>
        <charset val="134"/>
      </rPr>
      <t xml:space="preserve">
</t>
    </r>
    <r>
      <rPr>
        <sz val="11"/>
        <color theme="1"/>
        <rFont val="宋体"/>
        <charset val="134"/>
      </rPr>
      <t>年产品产量</t>
    </r>
    <r>
      <rPr>
        <sz val="11"/>
        <color theme="1"/>
        <rFont val="Tahoma"/>
        <charset val="134"/>
      </rPr>
      <t xml:space="preserve">
</t>
    </r>
    <r>
      <rPr>
        <sz val="11"/>
        <color theme="1"/>
        <rFont val="宋体"/>
        <charset val="134"/>
      </rPr>
      <t>单位产品碳排放</t>
    </r>
  </si>
  <si>
    <t>①从EPDC获取单位产品碳排放信息表
②修改完善表格内容
③提交成果</t>
  </si>
  <si>
    <t>单位能耗碳排放信息表</t>
  </si>
  <si>
    <r>
      <rPr>
        <sz val="11"/>
        <color theme="1"/>
        <rFont val="宋体"/>
        <charset val="134"/>
      </rPr>
      <t>项目名称</t>
    </r>
    <r>
      <rPr>
        <sz val="11"/>
        <color theme="1"/>
        <rFont val="Tahoma"/>
        <charset val="134"/>
      </rPr>
      <t xml:space="preserve">
</t>
    </r>
    <r>
      <rPr>
        <sz val="11"/>
        <color theme="1"/>
        <rFont val="宋体"/>
        <charset val="134"/>
      </rPr>
      <t>年总能耗（标煤）</t>
    </r>
    <r>
      <rPr>
        <sz val="11"/>
        <color theme="1"/>
        <rFont val="Tahoma"/>
        <charset val="134"/>
      </rPr>
      <t xml:space="preserve">
</t>
    </r>
    <r>
      <rPr>
        <sz val="11"/>
        <color theme="1"/>
        <rFont val="宋体"/>
        <charset val="134"/>
      </rPr>
      <t>单位能耗碳排放</t>
    </r>
  </si>
  <si>
    <t>①从EPDC获取单位能耗碳排放信息表
②修改完善表格内容
③提交成果</t>
  </si>
  <si>
    <t>对关联生产系统的碳排放影响计算</t>
  </si>
  <si>
    <t>①从EPDC获取对关联生产系统的碳排放影响计算
②修改完善文档内容
③提交成果</t>
  </si>
  <si>
    <t>项目碳排放水平分析</t>
  </si>
  <si>
    <t>①从EPDC获取项目碳排放水平分析
②修改完善文档内容
③提交成果</t>
  </si>
  <si>
    <t>碳排放评价碳排放总量占比信息表</t>
  </si>
  <si>
    <t>项目名称、项目年温室气体排放总量、对比年度、对比单位、对比单位年计划温室气体排放总量、项目占总排放量比例</t>
  </si>
  <si>
    <t>①从EPDC获取碳排放评价碳排放总量占比信息表
②修改完善表格内容
③提交成果</t>
  </si>
  <si>
    <t>碳排放评价碳排放强度水平分析信息表</t>
  </si>
  <si>
    <t>项目名称、对比起始月份、对比终止月份、对比单位、对比单位万元产值碳排放强度、本项目万元产值碳排放量、是否低于对比值</t>
  </si>
  <si>
    <t>①从EPDC获取碳排放评价碳排放强度水平分析信息表
②修改完善表格内容
③提交成果</t>
  </si>
  <si>
    <t>项目碳排放经济性评估</t>
  </si>
  <si>
    <t>纳入碳交易市场企业项目效益测算</t>
  </si>
  <si>
    <t>纳入碳交易市场企业项目碳配额测算信息表</t>
  </si>
  <si>
    <t>项目所属单位碳配额</t>
  </si>
  <si>
    <t>①从EPDC获取纳入碳交易市场企业项目碳配额测算信息表
②修改完善表格内容
③提交成果</t>
  </si>
  <si>
    <t>纳入碳交易市场企业项目碳效益测算信息表</t>
  </si>
  <si>
    <t>项目名称、项目所属单位、年度、履约碳市场年度均价、项目实施后碳配额盈余、碳排放效益</t>
  </si>
  <si>
    <t>①从EPDC获取纳入碳交易市场企业项目碳效益测算信息表
②修改完善表格内容
③提交成果</t>
  </si>
  <si>
    <t>未纳入碳交易市场企业项目效益测算</t>
  </si>
  <si>
    <t>①从知识库获取未纳入碳交易市场企业项目效益测算
②修改完善文档内容
③提交成果</t>
  </si>
  <si>
    <t>项目碳减排措施建议及效果分析</t>
  </si>
  <si>
    <t>①从知识库获取项目碳减排措施建议及效果分析
②修改完善文档内容
③提交成果</t>
  </si>
  <si>
    <t>项目碳排放评价结论</t>
  </si>
  <si>
    <t>①从知识库获取项目碳排放评价结论
②修改完善文档内容
③提交成果</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</si>
</sst>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6">
    <font>
      <sz val="11"/>
      <color theme="1"/>
      <name val="Tahoma"/>
      <charset val="134"/>
    </font>
    <font>
      <sz val="10"/>
      <color theme="1"/>
      <name val="微软雅黑"/>
      <charset val="134"/>
    </font>
    <font>
      <b/>
      <sz val="14"/>
      <color theme="0"/>
      <name val="微软雅黑"/>
      <charset val="134"/>
    </font>
    <font>
      <b/>
      <sz val="14"/>
      <color rgb="FFFF0000"/>
      <name val="微软雅黑"/>
      <charset val="134"/>
    </font>
    <font>
      <sz val="10"/>
      <name val="微软雅黑"/>
      <charset val="134"/>
    </font>
    <font>
      <b/>
      <sz val="14"/>
      <name val="微软雅黑"/>
      <charset val="134"/>
    </font>
    <font>
      <sz val="11"/>
      <color theme="1"/>
      <name val="等线"/>
      <charset val="134"/>
      <scheme val="minor"/>
    </font>
    <font>
      <sz val="11"/>
      <color theme="1"/>
      <name val="宋体"/>
      <charset val="134"/>
    </font>
    <font>
      <sz val="10"/>
      <color rgb="FF0000FF"/>
      <name val="微软雅黑"/>
      <charset val="134"/>
    </font>
    <font>
      <b/>
      <sz val="10"/>
      <color theme="1"/>
      <name val="微软雅黑"/>
      <charset val="134"/>
    </font>
    <font>
      <sz val="12"/>
      <color theme="1"/>
      <name val="微软雅黑"/>
      <charset val="134"/>
    </font>
    <font>
      <sz val="10"/>
      <color rgb="FF00B050"/>
      <name val="微软雅黑"/>
      <charset val="134"/>
    </font>
    <font>
      <sz val="11"/>
      <color rgb="FF303133"/>
      <name val="Microsoft YaHei UI"/>
      <charset val="134"/>
    </font>
    <font>
      <u/>
      <sz val="11"/>
      <color rgb="FF0000FF"/>
      <name val="等线"/>
      <charset val="0"/>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
      <sz val="12"/>
      <name val="宋体"/>
      <charset val="134"/>
    </font>
    <font>
      <b/>
      <sz val="14"/>
      <color theme="0"/>
      <name val="Arial"/>
      <charset val="134"/>
    </font>
    <font>
      <b/>
      <sz val="9"/>
      <name val="宋体"/>
      <charset val="134"/>
    </font>
    <font>
      <sz val="9"/>
      <name val="宋体"/>
      <charset val="134"/>
    </font>
  </fonts>
  <fills count="37">
    <fill>
      <patternFill patternType="none"/>
    </fill>
    <fill>
      <patternFill patternType="gray125"/>
    </fill>
    <fill>
      <patternFill patternType="solid">
        <fgColor theme="4"/>
        <bgColor indexed="64"/>
      </patternFill>
    </fill>
    <fill>
      <patternFill patternType="solid">
        <fgColor rgb="FFFFFF00"/>
        <bgColor indexed="64"/>
      </patternFill>
    </fill>
    <fill>
      <patternFill patternType="solid">
        <fgColor rgb="FF92D050"/>
        <bgColor indexed="64"/>
      </patternFill>
    </fill>
    <fill>
      <patternFill patternType="solid">
        <fgColor rgb="FFFF8181"/>
        <bgColor indexed="64"/>
      </patternFill>
    </fill>
    <fill>
      <patternFill patternType="solid">
        <fgColor theme="5"/>
        <bgColor indexed="64"/>
      </patternFill>
    </fill>
    <fill>
      <patternFill patternType="solid">
        <fgColor theme="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6">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3">
    <xf numFmtId="0" fontId="0" fillId="0" borderId="0"/>
    <xf numFmtId="43" fontId="6" fillId="0" borderId="0" applyFont="0" applyFill="0" applyBorder="0" applyAlignment="0" applyProtection="0">
      <alignment vertical="center"/>
    </xf>
    <xf numFmtId="44" fontId="6" fillId="0" borderId="0" applyFont="0" applyFill="0" applyBorder="0" applyAlignment="0" applyProtection="0">
      <alignment vertical="center"/>
    </xf>
    <xf numFmtId="9" fontId="6" fillId="0" borderId="0" applyFont="0" applyFill="0" applyBorder="0" applyAlignment="0" applyProtection="0">
      <alignment vertical="center"/>
    </xf>
    <xf numFmtId="41" fontId="6" fillId="0" borderId="0" applyFont="0" applyFill="0" applyBorder="0" applyAlignment="0" applyProtection="0">
      <alignment vertical="center"/>
    </xf>
    <xf numFmtId="42" fontId="6" fillId="0" borderId="0" applyFont="0" applyFill="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6" fillId="8" borderId="8" applyNumberFormat="0" applyFont="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0" borderId="9" applyNumberFormat="0" applyFill="0" applyAlignment="0" applyProtection="0">
      <alignment vertical="center"/>
    </xf>
    <xf numFmtId="0" fontId="19" fillId="0" borderId="9" applyNumberFormat="0" applyFill="0" applyAlignment="0" applyProtection="0">
      <alignment vertical="center"/>
    </xf>
    <xf numFmtId="0" fontId="20" fillId="0" borderId="10" applyNumberFormat="0" applyFill="0" applyAlignment="0" applyProtection="0">
      <alignment vertical="center"/>
    </xf>
    <xf numFmtId="0" fontId="20" fillId="0" borderId="0" applyNumberFormat="0" applyFill="0" applyBorder="0" applyAlignment="0" applyProtection="0">
      <alignment vertical="center"/>
    </xf>
    <xf numFmtId="0" fontId="21" fillId="9" borderId="11" applyNumberFormat="0" applyAlignment="0" applyProtection="0">
      <alignment vertical="center"/>
    </xf>
    <xf numFmtId="0" fontId="22" fillId="10" borderId="12" applyNumberFormat="0" applyAlignment="0" applyProtection="0">
      <alignment vertical="center"/>
    </xf>
    <xf numFmtId="0" fontId="23" fillId="10" borderId="11" applyNumberFormat="0" applyAlignment="0" applyProtection="0">
      <alignment vertical="center"/>
    </xf>
    <xf numFmtId="0" fontId="24" fillId="11" borderId="13" applyNumberFormat="0" applyAlignment="0" applyProtection="0">
      <alignment vertical="center"/>
    </xf>
    <xf numFmtId="0" fontId="25" fillId="0" borderId="14" applyNumberFormat="0" applyFill="0" applyAlignment="0" applyProtection="0">
      <alignment vertical="center"/>
    </xf>
    <xf numFmtId="0" fontId="26" fillId="0" borderId="15" applyNumberFormat="0" applyFill="0" applyAlignment="0" applyProtection="0">
      <alignment vertical="center"/>
    </xf>
    <xf numFmtId="0" fontId="27" fillId="12" borderId="0" applyNumberFormat="0" applyBorder="0" applyAlignment="0" applyProtection="0">
      <alignment vertical="center"/>
    </xf>
    <xf numFmtId="0" fontId="28" fillId="13" borderId="0" applyNumberFormat="0" applyBorder="0" applyAlignment="0" applyProtection="0">
      <alignment vertical="center"/>
    </xf>
    <xf numFmtId="0" fontId="29" fillId="14" borderId="0" applyNumberFormat="0" applyBorder="0" applyAlignment="0" applyProtection="0">
      <alignment vertical="center"/>
    </xf>
    <xf numFmtId="0" fontId="30" fillId="2" borderId="0" applyNumberFormat="0" applyBorder="0" applyAlignment="0" applyProtection="0">
      <alignment vertical="center"/>
    </xf>
    <xf numFmtId="0" fontId="31" fillId="15" borderId="0" applyNumberFormat="0" applyBorder="0" applyAlignment="0" applyProtection="0">
      <alignment vertical="center"/>
    </xf>
    <xf numFmtId="0" fontId="31" fillId="16" borderId="0" applyNumberFormat="0" applyBorder="0" applyAlignment="0" applyProtection="0">
      <alignment vertical="center"/>
    </xf>
    <xf numFmtId="0" fontId="30" fillId="17" borderId="0" applyNumberFormat="0" applyBorder="0" applyAlignment="0" applyProtection="0">
      <alignment vertical="center"/>
    </xf>
    <xf numFmtId="0" fontId="30" fillId="6" borderId="0" applyNumberFormat="0" applyBorder="0" applyAlignment="0" applyProtection="0">
      <alignment vertical="center"/>
    </xf>
    <xf numFmtId="0" fontId="31" fillId="18" borderId="0" applyNumberFormat="0" applyBorder="0" applyAlignment="0" applyProtection="0">
      <alignment vertical="center"/>
    </xf>
    <xf numFmtId="0" fontId="31" fillId="19" borderId="0" applyNumberFormat="0" applyBorder="0" applyAlignment="0" applyProtection="0">
      <alignment vertical="center"/>
    </xf>
    <xf numFmtId="0" fontId="30" fillId="20" borderId="0" applyNumberFormat="0" applyBorder="0" applyAlignment="0" applyProtection="0">
      <alignment vertical="center"/>
    </xf>
    <xf numFmtId="0" fontId="30" fillId="21" borderId="0" applyNumberFormat="0" applyBorder="0" applyAlignment="0" applyProtection="0">
      <alignment vertical="center"/>
    </xf>
    <xf numFmtId="0" fontId="31" fillId="22" borderId="0" applyNumberFormat="0" applyBorder="0" applyAlignment="0" applyProtection="0">
      <alignment vertical="center"/>
    </xf>
    <xf numFmtId="0" fontId="31" fillId="23" borderId="0" applyNumberFormat="0" applyBorder="0" applyAlignment="0" applyProtection="0">
      <alignment vertical="center"/>
    </xf>
    <xf numFmtId="0" fontId="30" fillId="24" borderId="0" applyNumberFormat="0" applyBorder="0" applyAlignment="0" applyProtection="0">
      <alignment vertical="center"/>
    </xf>
    <xf numFmtId="0" fontId="30" fillId="25" borderId="0" applyNumberFormat="0" applyBorder="0" applyAlignment="0" applyProtection="0">
      <alignment vertical="center"/>
    </xf>
    <xf numFmtId="0" fontId="31" fillId="26" borderId="0" applyNumberFormat="0" applyBorder="0" applyAlignment="0" applyProtection="0">
      <alignment vertical="center"/>
    </xf>
    <xf numFmtId="0" fontId="31" fillId="27" borderId="0" applyNumberFormat="0" applyBorder="0" applyAlignment="0" applyProtection="0">
      <alignment vertical="center"/>
    </xf>
    <xf numFmtId="0" fontId="30" fillId="28" borderId="0" applyNumberFormat="0" applyBorder="0" applyAlignment="0" applyProtection="0">
      <alignment vertical="center"/>
    </xf>
    <xf numFmtId="0" fontId="30" fillId="29" borderId="0" applyNumberFormat="0" applyBorder="0" applyAlignment="0" applyProtection="0">
      <alignment vertical="center"/>
    </xf>
    <xf numFmtId="0" fontId="31" fillId="30" borderId="0" applyNumberFormat="0" applyBorder="0" applyAlignment="0" applyProtection="0">
      <alignment vertical="center"/>
    </xf>
    <xf numFmtId="0" fontId="31" fillId="31" borderId="0" applyNumberFormat="0" applyBorder="0" applyAlignment="0" applyProtection="0">
      <alignment vertical="center"/>
    </xf>
    <xf numFmtId="0" fontId="30" fillId="32" borderId="0" applyNumberFormat="0" applyBorder="0" applyAlignment="0" applyProtection="0">
      <alignment vertical="center"/>
    </xf>
    <xf numFmtId="0" fontId="30" fillId="33" borderId="0" applyNumberFormat="0" applyBorder="0" applyAlignment="0" applyProtection="0">
      <alignment vertical="center"/>
    </xf>
    <xf numFmtId="0" fontId="31" fillId="34" borderId="0" applyNumberFormat="0" applyBorder="0" applyAlignment="0" applyProtection="0">
      <alignment vertical="center"/>
    </xf>
    <xf numFmtId="0" fontId="31" fillId="35" borderId="0" applyNumberFormat="0" applyBorder="0" applyAlignment="0" applyProtection="0">
      <alignment vertical="center"/>
    </xf>
    <xf numFmtId="0" fontId="30" fillId="36" borderId="0" applyNumberFormat="0" applyBorder="0" applyAlignment="0" applyProtection="0">
      <alignment vertical="center"/>
    </xf>
    <xf numFmtId="0" fontId="6" fillId="0" borderId="0">
      <alignment vertical="center"/>
    </xf>
    <xf numFmtId="0" fontId="32" fillId="0" borderId="0"/>
    <xf numFmtId="0" fontId="0" fillId="0" borderId="0"/>
    <xf numFmtId="0" fontId="6" fillId="0" borderId="0"/>
  </cellStyleXfs>
  <cellXfs count="65">
    <xf numFmtId="0" fontId="0" fillId="0" borderId="0" xfId="0"/>
    <xf numFmtId="0" fontId="0" fillId="0" borderId="0" xfId="0" applyAlignment="1">
      <alignment horizontal="center"/>
    </xf>
    <xf numFmtId="0" fontId="0" fillId="0" borderId="0" xfId="0" applyFill="1"/>
    <xf numFmtId="0" fontId="1" fillId="0" borderId="0" xfId="0" applyFont="1" applyAlignment="1">
      <alignment horizontal="left" vertical="center" wrapText="1"/>
    </xf>
    <xf numFmtId="0" fontId="1" fillId="0" borderId="1" xfId="0" applyFont="1" applyBorder="1" applyAlignment="1">
      <alignment horizontal="left" vertical="center" wrapText="1"/>
    </xf>
    <xf numFmtId="0" fontId="1" fillId="0" borderId="1" xfId="0" applyFont="1" applyBorder="1" applyAlignment="1">
      <alignment horizontal="left" vertical="center"/>
    </xf>
    <xf numFmtId="0" fontId="2" fillId="2" borderId="1" xfId="0" applyFont="1" applyFill="1" applyBorder="1" applyAlignment="1">
      <alignment horizontal="center" vertical="center"/>
    </xf>
    <xf numFmtId="0" fontId="3" fillId="3" borderId="1" xfId="0" applyFont="1" applyFill="1" applyBorder="1" applyAlignment="1">
      <alignment horizontal="center" vertical="center"/>
    </xf>
    <xf numFmtId="0" fontId="2" fillId="2" borderId="2" xfId="0" applyFont="1" applyFill="1" applyBorder="1" applyAlignment="1">
      <alignment horizontal="center" vertical="center"/>
    </xf>
    <xf numFmtId="0" fontId="3" fillId="3" borderId="3" xfId="0" applyFont="1" applyFill="1" applyBorder="1" applyAlignment="1">
      <alignment horizontal="center" vertical="center"/>
    </xf>
    <xf numFmtId="0" fontId="1" fillId="0" borderId="1" xfId="0" applyFont="1" applyFill="1" applyBorder="1" applyAlignment="1">
      <alignment horizontal="left" vertical="center" wrapText="1"/>
    </xf>
    <xf numFmtId="0" fontId="1" fillId="0" borderId="1" xfId="0" applyFont="1" applyFill="1" applyBorder="1" applyAlignment="1">
      <alignment horizontal="center" vertical="center" wrapText="1"/>
    </xf>
    <xf numFmtId="0" fontId="1" fillId="0" borderId="2" xfId="0" applyFont="1" applyFill="1" applyBorder="1" applyAlignment="1">
      <alignment horizontal="left" vertical="center" wrapText="1"/>
    </xf>
    <xf numFmtId="0" fontId="0" fillId="0" borderId="1" xfId="0" applyFill="1" applyBorder="1"/>
    <xf numFmtId="0" fontId="1" fillId="0" borderId="4" xfId="0" applyFont="1" applyFill="1" applyBorder="1" applyAlignment="1">
      <alignment horizontal="left" vertical="center" wrapText="1"/>
    </xf>
    <xf numFmtId="0" fontId="1" fillId="0" borderId="5" xfId="0" applyFont="1" applyFill="1" applyBorder="1" applyAlignment="1">
      <alignment horizontal="left" vertical="center" wrapText="1"/>
    </xf>
    <xf numFmtId="0" fontId="1" fillId="0" borderId="6" xfId="0" applyFont="1" applyFill="1" applyBorder="1" applyAlignment="1">
      <alignment horizontal="left" vertical="center" wrapText="1"/>
    </xf>
    <xf numFmtId="0" fontId="1" fillId="0" borderId="3" xfId="0" applyFont="1" applyFill="1" applyBorder="1" applyAlignment="1">
      <alignment horizontal="left" vertical="center" wrapText="1"/>
    </xf>
    <xf numFmtId="0" fontId="4" fillId="0" borderId="3" xfId="0" applyFont="1" applyFill="1" applyBorder="1" applyAlignment="1">
      <alignment horizontal="left" vertical="center" wrapText="1"/>
    </xf>
    <xf numFmtId="0" fontId="4" fillId="0" borderId="1" xfId="0" applyFont="1" applyFill="1" applyBorder="1" applyAlignment="1">
      <alignment horizontal="left" vertical="center" wrapText="1"/>
    </xf>
    <xf numFmtId="0" fontId="5" fillId="4" borderId="2" xfId="0" applyFont="1" applyFill="1" applyBorder="1" applyAlignment="1">
      <alignment horizontal="center" vertical="center"/>
    </xf>
    <xf numFmtId="0" fontId="5" fillId="4" borderId="1" xfId="0" applyFont="1" applyFill="1" applyBorder="1" applyAlignment="1">
      <alignment horizontal="center" vertical="center"/>
    </xf>
    <xf numFmtId="0" fontId="2" fillId="5" borderId="1" xfId="0" applyFont="1" applyFill="1" applyBorder="1" applyAlignment="1">
      <alignment horizontal="center" vertical="center"/>
    </xf>
    <xf numFmtId="0" fontId="1" fillId="0" borderId="1" xfId="0" applyFont="1" applyFill="1" applyBorder="1" applyAlignment="1">
      <alignment horizontal="left" vertical="center"/>
    </xf>
    <xf numFmtId="0" fontId="6" fillId="0" borderId="1" xfId="0" applyFont="1" applyFill="1" applyBorder="1" applyAlignment="1">
      <alignment vertical="center" wrapText="1"/>
    </xf>
    <xf numFmtId="0" fontId="7" fillId="0" borderId="1" xfId="0" applyFont="1" applyFill="1" applyBorder="1" applyAlignment="1">
      <alignment wrapText="1"/>
    </xf>
    <xf numFmtId="0" fontId="8" fillId="0" borderId="1" xfId="0" applyFont="1" applyFill="1" applyBorder="1" applyAlignment="1">
      <alignment horizontal="left" vertical="center" wrapText="1"/>
    </xf>
    <xf numFmtId="0" fontId="2" fillId="6" borderId="1" xfId="0" applyFont="1" applyFill="1" applyBorder="1" applyAlignment="1">
      <alignment horizontal="center" vertical="center"/>
    </xf>
    <xf numFmtId="0" fontId="1" fillId="0" borderId="1" xfId="0" applyFont="1" applyFill="1" applyBorder="1" applyAlignment="1">
      <alignment vertical="center" wrapText="1"/>
    </xf>
    <xf numFmtId="0" fontId="1" fillId="0" borderId="1" xfId="0" applyFont="1" applyFill="1" applyBorder="1" applyAlignment="1">
      <alignment vertical="center"/>
    </xf>
    <xf numFmtId="0" fontId="0" fillId="0" borderId="2" xfId="0" applyFill="1" applyBorder="1" applyAlignment="1"/>
    <xf numFmtId="0" fontId="1" fillId="0" borderId="3" xfId="0" applyFont="1" applyFill="1" applyBorder="1" applyAlignment="1">
      <alignment vertical="center" wrapText="1"/>
    </xf>
    <xf numFmtId="0" fontId="1" fillId="0" borderId="3" xfId="0" applyFont="1" applyFill="1" applyBorder="1" applyAlignment="1">
      <alignment vertical="center"/>
    </xf>
    <xf numFmtId="0" fontId="1" fillId="0" borderId="2" xfId="0" applyFont="1" applyFill="1" applyBorder="1" applyAlignment="1">
      <alignment vertical="center"/>
    </xf>
    <xf numFmtId="0" fontId="1" fillId="0" borderId="0" xfId="0" applyFont="1" applyFill="1" applyAlignment="1">
      <alignment horizontal="left" vertical="center" wrapText="1"/>
    </xf>
    <xf numFmtId="0" fontId="1" fillId="0" borderId="2" xfId="0" applyFont="1" applyFill="1" applyBorder="1" applyAlignment="1">
      <alignment horizontal="left" vertical="center"/>
    </xf>
    <xf numFmtId="0" fontId="1" fillId="0" borderId="3" xfId="0" applyFont="1" applyFill="1" applyBorder="1" applyAlignment="1">
      <alignment horizontal="left" vertical="center"/>
    </xf>
    <xf numFmtId="0" fontId="1" fillId="0" borderId="2" xfId="0" applyFont="1" applyFill="1" applyBorder="1" applyAlignment="1">
      <alignment vertical="center" wrapText="1"/>
    </xf>
    <xf numFmtId="0" fontId="1" fillId="0" borderId="1" xfId="0" applyFont="1" applyFill="1" applyBorder="1"/>
    <xf numFmtId="0" fontId="9" fillId="0" borderId="1" xfId="0" applyFont="1" applyFill="1" applyBorder="1" applyAlignment="1">
      <alignment vertical="center" wrapText="1"/>
    </xf>
    <xf numFmtId="0" fontId="1" fillId="0" borderId="1" xfId="0" applyFont="1" applyBorder="1" applyAlignment="1">
      <alignment vertical="center" wrapText="1"/>
    </xf>
    <xf numFmtId="0" fontId="1" fillId="0" borderId="4" xfId="0" applyFont="1" applyBorder="1" applyAlignment="1">
      <alignment horizontal="left" vertical="center" wrapText="1"/>
    </xf>
    <xf numFmtId="0" fontId="1" fillId="0" borderId="6" xfId="0" applyFont="1" applyBorder="1" applyAlignment="1">
      <alignment horizontal="left" vertical="center" wrapText="1"/>
    </xf>
    <xf numFmtId="0" fontId="1" fillId="0" borderId="5" xfId="0" applyFont="1" applyBorder="1" applyAlignment="1">
      <alignment horizontal="left" vertical="center" wrapText="1"/>
    </xf>
    <xf numFmtId="0" fontId="1" fillId="0" borderId="4" xfId="0" applyFont="1" applyBorder="1" applyAlignment="1">
      <alignment vertical="center" wrapText="1"/>
    </xf>
    <xf numFmtId="0" fontId="1" fillId="0" borderId="5" xfId="0" applyFont="1" applyBorder="1" applyAlignment="1">
      <alignment vertical="center" wrapText="1"/>
    </xf>
    <xf numFmtId="0" fontId="1" fillId="0" borderId="6" xfId="0" applyFont="1" applyBorder="1" applyAlignment="1">
      <alignment vertical="center" wrapText="1"/>
    </xf>
    <xf numFmtId="0" fontId="2" fillId="2" borderId="3" xfId="0" applyFont="1" applyFill="1" applyBorder="1" applyAlignment="1">
      <alignment horizontal="center" vertical="center"/>
    </xf>
    <xf numFmtId="0" fontId="10" fillId="0" borderId="3" xfId="0" applyFont="1" applyFill="1" applyBorder="1" applyAlignment="1">
      <alignment horizontal="left" vertical="center" wrapText="1"/>
    </xf>
    <xf numFmtId="0" fontId="10" fillId="0" borderId="1" xfId="0" applyFont="1" applyFill="1" applyBorder="1" applyAlignment="1">
      <alignment horizontal="left" vertical="center" wrapText="1"/>
    </xf>
    <xf numFmtId="0" fontId="6" fillId="7" borderId="1" xfId="0" applyFont="1" applyFill="1" applyBorder="1" applyAlignment="1">
      <alignment vertical="center" wrapText="1"/>
    </xf>
    <xf numFmtId="0" fontId="11" fillId="0" borderId="1" xfId="0" applyFont="1" applyFill="1" applyBorder="1" applyAlignment="1">
      <alignment horizontal="left" vertical="center" wrapText="1"/>
    </xf>
    <xf numFmtId="0" fontId="4" fillId="0" borderId="1" xfId="0" applyFont="1" applyBorder="1" applyAlignment="1">
      <alignment horizontal="left" vertical="center" wrapText="1"/>
    </xf>
    <xf numFmtId="0" fontId="1" fillId="0" borderId="2" xfId="0" applyFont="1" applyBorder="1" applyAlignment="1">
      <alignment horizontal="left" vertical="center" wrapText="1"/>
    </xf>
    <xf numFmtId="0" fontId="1" fillId="0" borderId="0" xfId="0" applyFont="1" applyFill="1"/>
    <xf numFmtId="0" fontId="0" fillId="0" borderId="1" xfId="0" applyBorder="1"/>
    <xf numFmtId="0" fontId="1" fillId="0" borderId="0" xfId="0" applyFont="1" applyAlignment="1">
      <alignment horizontal="left" vertical="center"/>
    </xf>
    <xf numFmtId="0" fontId="12" fillId="0" borderId="1" xfId="0" applyFont="1" applyBorder="1" applyAlignment="1">
      <alignment vertical="center"/>
    </xf>
    <xf numFmtId="0" fontId="4" fillId="0" borderId="2" xfId="0" applyFont="1" applyBorder="1" applyAlignment="1">
      <alignment horizontal="left" vertical="center" wrapText="1"/>
    </xf>
    <xf numFmtId="0" fontId="0" fillId="0" borderId="1" xfId="0" applyFill="1" applyBorder="1" applyAlignment="1"/>
    <xf numFmtId="0" fontId="4" fillId="0" borderId="2" xfId="0" applyFont="1" applyFill="1" applyBorder="1" applyAlignment="1">
      <alignment horizontal="left" vertical="center" wrapText="1"/>
    </xf>
    <xf numFmtId="0" fontId="5" fillId="4" borderId="7" xfId="0" applyFont="1" applyFill="1" applyBorder="1" applyAlignment="1">
      <alignment horizontal="center" vertical="center"/>
    </xf>
    <xf numFmtId="0" fontId="1" fillId="0" borderId="7" xfId="0" applyFont="1" applyFill="1" applyBorder="1" applyAlignment="1">
      <alignment horizontal="left" vertical="center"/>
    </xf>
    <xf numFmtId="0" fontId="1" fillId="0" borderId="7" xfId="0" applyFont="1" applyFill="1" applyBorder="1" applyAlignment="1">
      <alignment horizontal="left" vertical="center" wrapText="1"/>
    </xf>
    <xf numFmtId="0" fontId="1" fillId="0" borderId="4" xfId="0" applyFont="1" applyFill="1" applyBorder="1" applyAlignment="1">
      <alignment horizontal="left" vertical="center"/>
    </xf>
  </cellXfs>
  <cellStyles count="53">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 name="常规 4 2 2" xfId="49"/>
    <cellStyle name="常规 2 2" xfId="50"/>
    <cellStyle name="常规 2" xfId="51"/>
    <cellStyle name="常规 7" xfId="52"/>
  </cellStyles>
  <tableStyles count="0" defaultTableStyle="TableStyleMedium2" defaultPivotStyle="PivotStyleLight16"/>
  <colors>
    <mruColors>
      <color rgb="00FF8181"/>
      <color rgb="000000FF"/>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9" Type="http://schemas.openxmlformats.org/officeDocument/2006/relationships/image" Target="media/image98.png"/><Relationship Id="rId98" Type="http://schemas.openxmlformats.org/officeDocument/2006/relationships/image" Target="media/image97.png"/><Relationship Id="rId97" Type="http://schemas.openxmlformats.org/officeDocument/2006/relationships/image" Target="media/image96.png"/><Relationship Id="rId96" Type="http://schemas.openxmlformats.org/officeDocument/2006/relationships/image" Target="media/image95.png"/><Relationship Id="rId95" Type="http://schemas.openxmlformats.org/officeDocument/2006/relationships/image" Target="media/image94.png"/><Relationship Id="rId94" Type="http://schemas.openxmlformats.org/officeDocument/2006/relationships/image" Target="media/image93.png"/><Relationship Id="rId93" Type="http://schemas.openxmlformats.org/officeDocument/2006/relationships/image" Target="media/image92.png"/><Relationship Id="rId92" Type="http://schemas.openxmlformats.org/officeDocument/2006/relationships/image" Target="media/image91.png"/><Relationship Id="rId91" Type="http://schemas.openxmlformats.org/officeDocument/2006/relationships/image" Target="media/image90.png"/><Relationship Id="rId90" Type="http://schemas.openxmlformats.org/officeDocument/2006/relationships/image" Target="media/image89.png"/><Relationship Id="rId9" Type="http://schemas.openxmlformats.org/officeDocument/2006/relationships/image" Target="media/image8.png"/><Relationship Id="rId89" Type="http://schemas.openxmlformats.org/officeDocument/2006/relationships/image" Target="media/image88.png"/><Relationship Id="rId88" Type="http://schemas.openxmlformats.org/officeDocument/2006/relationships/image" Target="media/image87.png"/><Relationship Id="rId87" Type="http://schemas.openxmlformats.org/officeDocument/2006/relationships/image" Target="media/image86.png"/><Relationship Id="rId86" Type="http://schemas.openxmlformats.org/officeDocument/2006/relationships/image" Target="media/image85.png"/><Relationship Id="rId85" Type="http://schemas.openxmlformats.org/officeDocument/2006/relationships/image" Target="media/image84.png"/><Relationship Id="rId84" Type="http://schemas.openxmlformats.org/officeDocument/2006/relationships/image" Target="media/image83.png"/><Relationship Id="rId83" Type="http://schemas.openxmlformats.org/officeDocument/2006/relationships/image" Target="media/image82.png"/><Relationship Id="rId82" Type="http://schemas.openxmlformats.org/officeDocument/2006/relationships/image" Target="media/image81.png"/><Relationship Id="rId81" Type="http://schemas.openxmlformats.org/officeDocument/2006/relationships/image" Target="media/image80.png"/><Relationship Id="rId80" Type="http://schemas.openxmlformats.org/officeDocument/2006/relationships/image" Target="media/image79.png"/><Relationship Id="rId8" Type="http://schemas.openxmlformats.org/officeDocument/2006/relationships/image" Target="media/image7.png"/><Relationship Id="rId79" Type="http://schemas.openxmlformats.org/officeDocument/2006/relationships/image" Target="media/image78.png"/><Relationship Id="rId78" Type="http://schemas.openxmlformats.org/officeDocument/2006/relationships/image" Target="media/image77.png"/><Relationship Id="rId77" Type="http://schemas.openxmlformats.org/officeDocument/2006/relationships/image" Target="media/image76.png"/><Relationship Id="rId76" Type="http://schemas.openxmlformats.org/officeDocument/2006/relationships/image" Target="media/image75.png"/><Relationship Id="rId75" Type="http://schemas.openxmlformats.org/officeDocument/2006/relationships/image" Target="media/image74.png"/><Relationship Id="rId74" Type="http://schemas.openxmlformats.org/officeDocument/2006/relationships/image" Target="media/image73.png"/><Relationship Id="rId73" Type="http://schemas.openxmlformats.org/officeDocument/2006/relationships/image" Target="media/image72.png"/><Relationship Id="rId72" Type="http://schemas.openxmlformats.org/officeDocument/2006/relationships/image" Target="media/image71.png"/><Relationship Id="rId71" Type="http://schemas.openxmlformats.org/officeDocument/2006/relationships/image" Target="media/image70.png"/><Relationship Id="rId70" Type="http://schemas.openxmlformats.org/officeDocument/2006/relationships/image" Target="media/image69.png"/><Relationship Id="rId7" Type="http://schemas.openxmlformats.org/officeDocument/2006/relationships/image" Target="media/image6.png"/><Relationship Id="rId698" Type="http://schemas.openxmlformats.org/officeDocument/2006/relationships/image" Target="media/image697.png"/><Relationship Id="rId697" Type="http://schemas.openxmlformats.org/officeDocument/2006/relationships/image" Target="media/image696.png"/><Relationship Id="rId696" Type="http://schemas.openxmlformats.org/officeDocument/2006/relationships/image" Target="media/image695.png"/><Relationship Id="rId695" Type="http://schemas.openxmlformats.org/officeDocument/2006/relationships/image" Target="media/image694.png"/><Relationship Id="rId694" Type="http://schemas.openxmlformats.org/officeDocument/2006/relationships/image" Target="media/image693.png"/><Relationship Id="rId693" Type="http://schemas.openxmlformats.org/officeDocument/2006/relationships/image" Target="media/image692.png"/><Relationship Id="rId692" Type="http://schemas.openxmlformats.org/officeDocument/2006/relationships/image" Target="media/image691.png"/><Relationship Id="rId691" Type="http://schemas.openxmlformats.org/officeDocument/2006/relationships/image" Target="media/image690.png"/><Relationship Id="rId690" Type="http://schemas.openxmlformats.org/officeDocument/2006/relationships/image" Target="media/image689.png"/><Relationship Id="rId69" Type="http://schemas.openxmlformats.org/officeDocument/2006/relationships/image" Target="media/image68.png"/><Relationship Id="rId689" Type="http://schemas.openxmlformats.org/officeDocument/2006/relationships/image" Target="media/image688.png"/><Relationship Id="rId688" Type="http://schemas.openxmlformats.org/officeDocument/2006/relationships/image" Target="media/image687.png"/><Relationship Id="rId687" Type="http://schemas.openxmlformats.org/officeDocument/2006/relationships/image" Target="media/image686.png"/><Relationship Id="rId686" Type="http://schemas.openxmlformats.org/officeDocument/2006/relationships/image" Target="media/image685.png"/><Relationship Id="rId685" Type="http://schemas.openxmlformats.org/officeDocument/2006/relationships/image" Target="media/image684.png"/><Relationship Id="rId684" Type="http://schemas.openxmlformats.org/officeDocument/2006/relationships/image" Target="media/image683.png"/><Relationship Id="rId683" Type="http://schemas.openxmlformats.org/officeDocument/2006/relationships/image" Target="media/image682.png"/><Relationship Id="rId682" Type="http://schemas.openxmlformats.org/officeDocument/2006/relationships/image" Target="media/image681.png"/><Relationship Id="rId681" Type="http://schemas.openxmlformats.org/officeDocument/2006/relationships/image" Target="media/image680.png"/><Relationship Id="rId680" Type="http://schemas.openxmlformats.org/officeDocument/2006/relationships/image" Target="media/image679.png"/><Relationship Id="rId68" Type="http://schemas.openxmlformats.org/officeDocument/2006/relationships/image" Target="media/image67.png"/><Relationship Id="rId679" Type="http://schemas.openxmlformats.org/officeDocument/2006/relationships/image" Target="media/image678.png"/><Relationship Id="rId678" Type="http://schemas.openxmlformats.org/officeDocument/2006/relationships/image" Target="media/image677.png"/><Relationship Id="rId677" Type="http://schemas.openxmlformats.org/officeDocument/2006/relationships/image" Target="media/image676.png"/><Relationship Id="rId676" Type="http://schemas.openxmlformats.org/officeDocument/2006/relationships/image" Target="media/image675.png"/><Relationship Id="rId675" Type="http://schemas.openxmlformats.org/officeDocument/2006/relationships/image" Target="media/image674.png"/><Relationship Id="rId674" Type="http://schemas.openxmlformats.org/officeDocument/2006/relationships/image" Target="media/image673.png"/><Relationship Id="rId673" Type="http://schemas.openxmlformats.org/officeDocument/2006/relationships/image" Target="media/image672.png"/><Relationship Id="rId672" Type="http://schemas.openxmlformats.org/officeDocument/2006/relationships/image" Target="media/image671.png"/><Relationship Id="rId671" Type="http://schemas.openxmlformats.org/officeDocument/2006/relationships/image" Target="media/image670.png"/><Relationship Id="rId670" Type="http://schemas.openxmlformats.org/officeDocument/2006/relationships/image" Target="media/image669.png"/><Relationship Id="rId67" Type="http://schemas.openxmlformats.org/officeDocument/2006/relationships/image" Target="media/image66.png"/><Relationship Id="rId669" Type="http://schemas.openxmlformats.org/officeDocument/2006/relationships/image" Target="media/image668.png"/><Relationship Id="rId668" Type="http://schemas.openxmlformats.org/officeDocument/2006/relationships/image" Target="media/image667.png"/><Relationship Id="rId667" Type="http://schemas.openxmlformats.org/officeDocument/2006/relationships/image" Target="media/image666.png"/><Relationship Id="rId666" Type="http://schemas.openxmlformats.org/officeDocument/2006/relationships/image" Target="media/image665.png"/><Relationship Id="rId665" Type="http://schemas.openxmlformats.org/officeDocument/2006/relationships/image" Target="media/image664.png"/><Relationship Id="rId664" Type="http://schemas.openxmlformats.org/officeDocument/2006/relationships/image" Target="media/image663.png"/><Relationship Id="rId663" Type="http://schemas.openxmlformats.org/officeDocument/2006/relationships/image" Target="media/image662.png"/><Relationship Id="rId662" Type="http://schemas.openxmlformats.org/officeDocument/2006/relationships/image" Target="media/image661.png"/><Relationship Id="rId661" Type="http://schemas.openxmlformats.org/officeDocument/2006/relationships/image" Target="media/image660.png"/><Relationship Id="rId660" Type="http://schemas.openxmlformats.org/officeDocument/2006/relationships/image" Target="media/image659.png"/><Relationship Id="rId66" Type="http://schemas.openxmlformats.org/officeDocument/2006/relationships/image" Target="media/image65.png"/><Relationship Id="rId659" Type="http://schemas.openxmlformats.org/officeDocument/2006/relationships/image" Target="media/image658.png"/><Relationship Id="rId658" Type="http://schemas.openxmlformats.org/officeDocument/2006/relationships/image" Target="media/image657.png"/><Relationship Id="rId657" Type="http://schemas.openxmlformats.org/officeDocument/2006/relationships/image" Target="media/image656.png"/><Relationship Id="rId656" Type="http://schemas.openxmlformats.org/officeDocument/2006/relationships/image" Target="media/image655.png"/><Relationship Id="rId655" Type="http://schemas.openxmlformats.org/officeDocument/2006/relationships/image" Target="media/image654.png"/><Relationship Id="rId654" Type="http://schemas.openxmlformats.org/officeDocument/2006/relationships/image" Target="media/image653.png"/><Relationship Id="rId653" Type="http://schemas.openxmlformats.org/officeDocument/2006/relationships/image" Target="media/image652.png"/><Relationship Id="rId652" Type="http://schemas.openxmlformats.org/officeDocument/2006/relationships/image" Target="media/image651.png"/><Relationship Id="rId651" Type="http://schemas.openxmlformats.org/officeDocument/2006/relationships/image" Target="media/image650.png"/><Relationship Id="rId650" Type="http://schemas.openxmlformats.org/officeDocument/2006/relationships/image" Target="media/image649.png"/><Relationship Id="rId65" Type="http://schemas.openxmlformats.org/officeDocument/2006/relationships/image" Target="media/image64.png"/><Relationship Id="rId649" Type="http://schemas.openxmlformats.org/officeDocument/2006/relationships/image" Target="media/image648.png"/><Relationship Id="rId648" Type="http://schemas.openxmlformats.org/officeDocument/2006/relationships/image" Target="media/image647.png"/><Relationship Id="rId647" Type="http://schemas.openxmlformats.org/officeDocument/2006/relationships/image" Target="media/image646.png"/><Relationship Id="rId646" Type="http://schemas.openxmlformats.org/officeDocument/2006/relationships/image" Target="media/image645.png"/><Relationship Id="rId645" Type="http://schemas.openxmlformats.org/officeDocument/2006/relationships/image" Target="media/image644.png"/><Relationship Id="rId644" Type="http://schemas.openxmlformats.org/officeDocument/2006/relationships/image" Target="media/image643.png"/><Relationship Id="rId643" Type="http://schemas.openxmlformats.org/officeDocument/2006/relationships/image" Target="media/image642.png"/><Relationship Id="rId642" Type="http://schemas.openxmlformats.org/officeDocument/2006/relationships/image" Target="media/image641.png"/><Relationship Id="rId641" Type="http://schemas.openxmlformats.org/officeDocument/2006/relationships/image" Target="media/image640.png"/><Relationship Id="rId640" Type="http://schemas.openxmlformats.org/officeDocument/2006/relationships/image" Target="media/image639.png"/><Relationship Id="rId64" Type="http://schemas.openxmlformats.org/officeDocument/2006/relationships/image" Target="media/image63.png"/><Relationship Id="rId639" Type="http://schemas.openxmlformats.org/officeDocument/2006/relationships/image" Target="media/image638.png"/><Relationship Id="rId638" Type="http://schemas.openxmlformats.org/officeDocument/2006/relationships/image" Target="media/image637.png"/><Relationship Id="rId637" Type="http://schemas.openxmlformats.org/officeDocument/2006/relationships/image" Target="media/image636.png"/><Relationship Id="rId636" Type="http://schemas.openxmlformats.org/officeDocument/2006/relationships/image" Target="media/image635.png"/><Relationship Id="rId635" Type="http://schemas.openxmlformats.org/officeDocument/2006/relationships/image" Target="media/image634.png"/><Relationship Id="rId634" Type="http://schemas.openxmlformats.org/officeDocument/2006/relationships/image" Target="media/image633.png"/><Relationship Id="rId633" Type="http://schemas.openxmlformats.org/officeDocument/2006/relationships/image" Target="media/image632.png"/><Relationship Id="rId632" Type="http://schemas.openxmlformats.org/officeDocument/2006/relationships/image" Target="media/image631.png"/><Relationship Id="rId631" Type="http://schemas.openxmlformats.org/officeDocument/2006/relationships/image" Target="media/image630.png"/><Relationship Id="rId630" Type="http://schemas.openxmlformats.org/officeDocument/2006/relationships/image" Target="media/image629.png"/><Relationship Id="rId63" Type="http://schemas.openxmlformats.org/officeDocument/2006/relationships/image" Target="media/image62.png"/><Relationship Id="rId629" Type="http://schemas.openxmlformats.org/officeDocument/2006/relationships/image" Target="media/image628.png"/><Relationship Id="rId628" Type="http://schemas.openxmlformats.org/officeDocument/2006/relationships/image" Target="media/image627.png"/><Relationship Id="rId627" Type="http://schemas.openxmlformats.org/officeDocument/2006/relationships/image" Target="media/image626.png"/><Relationship Id="rId626" Type="http://schemas.openxmlformats.org/officeDocument/2006/relationships/image" Target="media/image625.png"/><Relationship Id="rId625" Type="http://schemas.openxmlformats.org/officeDocument/2006/relationships/image" Target="media/image624.png"/><Relationship Id="rId624" Type="http://schemas.openxmlformats.org/officeDocument/2006/relationships/image" Target="media/image623.png"/><Relationship Id="rId623" Type="http://schemas.openxmlformats.org/officeDocument/2006/relationships/image" Target="media/image622.png"/><Relationship Id="rId622" Type="http://schemas.openxmlformats.org/officeDocument/2006/relationships/image" Target="media/image621.png"/><Relationship Id="rId621" Type="http://schemas.openxmlformats.org/officeDocument/2006/relationships/image" Target="media/image620.png"/><Relationship Id="rId620" Type="http://schemas.openxmlformats.org/officeDocument/2006/relationships/image" Target="media/image619.png"/><Relationship Id="rId62" Type="http://schemas.openxmlformats.org/officeDocument/2006/relationships/image" Target="media/image61.png"/><Relationship Id="rId619" Type="http://schemas.openxmlformats.org/officeDocument/2006/relationships/image" Target="media/image618.png"/><Relationship Id="rId618" Type="http://schemas.openxmlformats.org/officeDocument/2006/relationships/image" Target="media/image617.png"/><Relationship Id="rId617" Type="http://schemas.openxmlformats.org/officeDocument/2006/relationships/image" Target="media/image616.png"/><Relationship Id="rId616" Type="http://schemas.openxmlformats.org/officeDocument/2006/relationships/image" Target="media/image615.png"/><Relationship Id="rId615" Type="http://schemas.openxmlformats.org/officeDocument/2006/relationships/image" Target="media/image614.png"/><Relationship Id="rId614" Type="http://schemas.openxmlformats.org/officeDocument/2006/relationships/image" Target="media/image613.png"/><Relationship Id="rId613" Type="http://schemas.openxmlformats.org/officeDocument/2006/relationships/image" Target="media/image612.png"/><Relationship Id="rId612" Type="http://schemas.openxmlformats.org/officeDocument/2006/relationships/image" Target="media/image611.png"/><Relationship Id="rId611" Type="http://schemas.openxmlformats.org/officeDocument/2006/relationships/image" Target="media/image610.png"/><Relationship Id="rId610" Type="http://schemas.openxmlformats.org/officeDocument/2006/relationships/image" Target="media/image609.png"/><Relationship Id="rId61" Type="http://schemas.openxmlformats.org/officeDocument/2006/relationships/image" Target="media/image60.png"/><Relationship Id="rId609" Type="http://schemas.openxmlformats.org/officeDocument/2006/relationships/image" Target="media/image608.png"/><Relationship Id="rId608" Type="http://schemas.openxmlformats.org/officeDocument/2006/relationships/image" Target="media/image607.png"/><Relationship Id="rId607" Type="http://schemas.openxmlformats.org/officeDocument/2006/relationships/image" Target="media/image606.png"/><Relationship Id="rId606" Type="http://schemas.openxmlformats.org/officeDocument/2006/relationships/image" Target="media/image605.png"/><Relationship Id="rId605" Type="http://schemas.openxmlformats.org/officeDocument/2006/relationships/image" Target="media/image604.png"/><Relationship Id="rId604" Type="http://schemas.openxmlformats.org/officeDocument/2006/relationships/image" Target="media/image603.png"/><Relationship Id="rId603" Type="http://schemas.openxmlformats.org/officeDocument/2006/relationships/image" Target="media/image602.png"/><Relationship Id="rId602" Type="http://schemas.openxmlformats.org/officeDocument/2006/relationships/image" Target="media/image601.png"/><Relationship Id="rId601" Type="http://schemas.openxmlformats.org/officeDocument/2006/relationships/image" Target="media/image600.png"/><Relationship Id="rId600" Type="http://schemas.openxmlformats.org/officeDocument/2006/relationships/image" Target="media/image599.png"/><Relationship Id="rId60" Type="http://schemas.openxmlformats.org/officeDocument/2006/relationships/image" Target="media/image59.png"/><Relationship Id="rId6" Type="http://schemas.openxmlformats.org/officeDocument/2006/relationships/image" Target="media/image5.png"/><Relationship Id="rId599" Type="http://schemas.openxmlformats.org/officeDocument/2006/relationships/image" Target="media/image598.png"/><Relationship Id="rId598" Type="http://schemas.openxmlformats.org/officeDocument/2006/relationships/image" Target="media/image597.png"/><Relationship Id="rId597" Type="http://schemas.openxmlformats.org/officeDocument/2006/relationships/image" Target="media/image596.png"/><Relationship Id="rId596" Type="http://schemas.openxmlformats.org/officeDocument/2006/relationships/image" Target="media/image595.png"/><Relationship Id="rId595" Type="http://schemas.openxmlformats.org/officeDocument/2006/relationships/image" Target="media/image594.png"/><Relationship Id="rId594" Type="http://schemas.openxmlformats.org/officeDocument/2006/relationships/image" Target="media/image593.png"/><Relationship Id="rId593" Type="http://schemas.openxmlformats.org/officeDocument/2006/relationships/image" Target="media/image592.png"/><Relationship Id="rId592" Type="http://schemas.openxmlformats.org/officeDocument/2006/relationships/image" Target="media/image591.png"/><Relationship Id="rId591" Type="http://schemas.openxmlformats.org/officeDocument/2006/relationships/image" Target="media/image590.png"/><Relationship Id="rId590" Type="http://schemas.openxmlformats.org/officeDocument/2006/relationships/image" Target="media/image589.png"/><Relationship Id="rId59" Type="http://schemas.openxmlformats.org/officeDocument/2006/relationships/image" Target="media/image58.png"/><Relationship Id="rId589" Type="http://schemas.openxmlformats.org/officeDocument/2006/relationships/image" Target="media/image588.png"/><Relationship Id="rId588" Type="http://schemas.openxmlformats.org/officeDocument/2006/relationships/image" Target="media/image587.png"/><Relationship Id="rId587" Type="http://schemas.openxmlformats.org/officeDocument/2006/relationships/image" Target="media/image586.png"/><Relationship Id="rId586" Type="http://schemas.openxmlformats.org/officeDocument/2006/relationships/image" Target="media/image585.png"/><Relationship Id="rId585" Type="http://schemas.openxmlformats.org/officeDocument/2006/relationships/image" Target="media/image584.png"/><Relationship Id="rId584" Type="http://schemas.openxmlformats.org/officeDocument/2006/relationships/image" Target="media/image583.png"/><Relationship Id="rId583" Type="http://schemas.openxmlformats.org/officeDocument/2006/relationships/image" Target="media/image582.png"/><Relationship Id="rId582" Type="http://schemas.openxmlformats.org/officeDocument/2006/relationships/image" Target="media/image581.png"/><Relationship Id="rId581" Type="http://schemas.openxmlformats.org/officeDocument/2006/relationships/image" Target="media/image580.png"/><Relationship Id="rId580" Type="http://schemas.openxmlformats.org/officeDocument/2006/relationships/image" Target="media/image579.png"/><Relationship Id="rId58" Type="http://schemas.openxmlformats.org/officeDocument/2006/relationships/image" Target="media/image57.png"/><Relationship Id="rId579" Type="http://schemas.openxmlformats.org/officeDocument/2006/relationships/image" Target="media/image578.png"/><Relationship Id="rId578" Type="http://schemas.openxmlformats.org/officeDocument/2006/relationships/image" Target="media/image577.png"/><Relationship Id="rId577" Type="http://schemas.openxmlformats.org/officeDocument/2006/relationships/image" Target="media/image576.png"/><Relationship Id="rId576" Type="http://schemas.openxmlformats.org/officeDocument/2006/relationships/image" Target="media/image575.png"/><Relationship Id="rId575" Type="http://schemas.openxmlformats.org/officeDocument/2006/relationships/image" Target="media/image574.png"/><Relationship Id="rId574" Type="http://schemas.openxmlformats.org/officeDocument/2006/relationships/image" Target="media/image573.png"/><Relationship Id="rId573" Type="http://schemas.openxmlformats.org/officeDocument/2006/relationships/image" Target="media/image572.png"/><Relationship Id="rId572" Type="http://schemas.openxmlformats.org/officeDocument/2006/relationships/image" Target="media/image571.png"/><Relationship Id="rId571" Type="http://schemas.openxmlformats.org/officeDocument/2006/relationships/image" Target="media/image570.png"/><Relationship Id="rId570" Type="http://schemas.openxmlformats.org/officeDocument/2006/relationships/image" Target="media/image569.png"/><Relationship Id="rId57" Type="http://schemas.openxmlformats.org/officeDocument/2006/relationships/image" Target="media/image56.png"/><Relationship Id="rId569" Type="http://schemas.openxmlformats.org/officeDocument/2006/relationships/image" Target="media/image568.png"/><Relationship Id="rId568" Type="http://schemas.openxmlformats.org/officeDocument/2006/relationships/image" Target="media/image567.png"/><Relationship Id="rId567" Type="http://schemas.openxmlformats.org/officeDocument/2006/relationships/image" Target="media/image566.png"/><Relationship Id="rId566" Type="http://schemas.openxmlformats.org/officeDocument/2006/relationships/image" Target="media/image565.png"/><Relationship Id="rId565" Type="http://schemas.openxmlformats.org/officeDocument/2006/relationships/image" Target="media/image564.png"/><Relationship Id="rId564" Type="http://schemas.openxmlformats.org/officeDocument/2006/relationships/image" Target="media/image563.png"/><Relationship Id="rId563" Type="http://schemas.openxmlformats.org/officeDocument/2006/relationships/image" Target="media/image562.png"/><Relationship Id="rId562" Type="http://schemas.openxmlformats.org/officeDocument/2006/relationships/image" Target="media/image561.png"/><Relationship Id="rId561" Type="http://schemas.openxmlformats.org/officeDocument/2006/relationships/image" Target="media/image560.png"/><Relationship Id="rId560" Type="http://schemas.openxmlformats.org/officeDocument/2006/relationships/image" Target="media/image559.png"/><Relationship Id="rId56" Type="http://schemas.openxmlformats.org/officeDocument/2006/relationships/image" Target="media/image55.png"/><Relationship Id="rId559" Type="http://schemas.openxmlformats.org/officeDocument/2006/relationships/image" Target="media/image558.png"/><Relationship Id="rId558" Type="http://schemas.openxmlformats.org/officeDocument/2006/relationships/image" Target="media/image557.png"/><Relationship Id="rId557" Type="http://schemas.openxmlformats.org/officeDocument/2006/relationships/image" Target="media/image556.png"/><Relationship Id="rId556" Type="http://schemas.openxmlformats.org/officeDocument/2006/relationships/image" Target="media/image555.png"/><Relationship Id="rId555" Type="http://schemas.openxmlformats.org/officeDocument/2006/relationships/image" Target="media/image554.png"/><Relationship Id="rId554" Type="http://schemas.openxmlformats.org/officeDocument/2006/relationships/image" Target="media/image553.png"/><Relationship Id="rId553" Type="http://schemas.openxmlformats.org/officeDocument/2006/relationships/image" Target="media/image552.png"/><Relationship Id="rId552" Type="http://schemas.openxmlformats.org/officeDocument/2006/relationships/image" Target="media/image551.png"/><Relationship Id="rId551" Type="http://schemas.openxmlformats.org/officeDocument/2006/relationships/image" Target="media/image550.png"/><Relationship Id="rId550" Type="http://schemas.openxmlformats.org/officeDocument/2006/relationships/image" Target="media/image549.png"/><Relationship Id="rId55" Type="http://schemas.openxmlformats.org/officeDocument/2006/relationships/image" Target="media/image54.png"/><Relationship Id="rId549" Type="http://schemas.openxmlformats.org/officeDocument/2006/relationships/image" Target="media/image548.png"/><Relationship Id="rId548" Type="http://schemas.openxmlformats.org/officeDocument/2006/relationships/image" Target="media/image547.png"/><Relationship Id="rId547" Type="http://schemas.openxmlformats.org/officeDocument/2006/relationships/image" Target="media/image546.png"/><Relationship Id="rId546" Type="http://schemas.openxmlformats.org/officeDocument/2006/relationships/image" Target="media/image545.png"/><Relationship Id="rId545" Type="http://schemas.openxmlformats.org/officeDocument/2006/relationships/image" Target="media/image544.png"/><Relationship Id="rId544" Type="http://schemas.openxmlformats.org/officeDocument/2006/relationships/image" Target="media/image543.png"/><Relationship Id="rId543" Type="http://schemas.openxmlformats.org/officeDocument/2006/relationships/image" Target="media/image542.png"/><Relationship Id="rId542" Type="http://schemas.openxmlformats.org/officeDocument/2006/relationships/image" Target="media/image541.png"/><Relationship Id="rId541" Type="http://schemas.openxmlformats.org/officeDocument/2006/relationships/image" Target="media/image540.png"/><Relationship Id="rId540" Type="http://schemas.openxmlformats.org/officeDocument/2006/relationships/image" Target="media/image539.png"/><Relationship Id="rId54" Type="http://schemas.openxmlformats.org/officeDocument/2006/relationships/image" Target="media/image53.png"/><Relationship Id="rId539" Type="http://schemas.openxmlformats.org/officeDocument/2006/relationships/image" Target="media/image538.png"/><Relationship Id="rId538" Type="http://schemas.openxmlformats.org/officeDocument/2006/relationships/image" Target="media/image537.png"/><Relationship Id="rId537" Type="http://schemas.openxmlformats.org/officeDocument/2006/relationships/image" Target="media/image536.png"/><Relationship Id="rId536" Type="http://schemas.openxmlformats.org/officeDocument/2006/relationships/image" Target="media/image535.png"/><Relationship Id="rId535" Type="http://schemas.openxmlformats.org/officeDocument/2006/relationships/image" Target="media/image534.png"/><Relationship Id="rId534" Type="http://schemas.openxmlformats.org/officeDocument/2006/relationships/image" Target="media/image533.png"/><Relationship Id="rId533" Type="http://schemas.openxmlformats.org/officeDocument/2006/relationships/image" Target="media/image532.png"/><Relationship Id="rId532" Type="http://schemas.openxmlformats.org/officeDocument/2006/relationships/image" Target="media/image531.png"/><Relationship Id="rId531" Type="http://schemas.openxmlformats.org/officeDocument/2006/relationships/image" Target="media/image530.png"/><Relationship Id="rId530" Type="http://schemas.openxmlformats.org/officeDocument/2006/relationships/image" Target="media/image529.png"/><Relationship Id="rId53" Type="http://schemas.openxmlformats.org/officeDocument/2006/relationships/image" Target="media/image52.png"/><Relationship Id="rId529" Type="http://schemas.openxmlformats.org/officeDocument/2006/relationships/image" Target="media/image528.png"/><Relationship Id="rId528" Type="http://schemas.openxmlformats.org/officeDocument/2006/relationships/image" Target="media/image527.png"/><Relationship Id="rId527" Type="http://schemas.openxmlformats.org/officeDocument/2006/relationships/image" Target="media/image526.png"/><Relationship Id="rId526" Type="http://schemas.openxmlformats.org/officeDocument/2006/relationships/image" Target="media/image525.png"/><Relationship Id="rId525" Type="http://schemas.openxmlformats.org/officeDocument/2006/relationships/image" Target="media/image524.png"/><Relationship Id="rId524" Type="http://schemas.openxmlformats.org/officeDocument/2006/relationships/image" Target="media/image523.png"/><Relationship Id="rId523" Type="http://schemas.openxmlformats.org/officeDocument/2006/relationships/image" Target="media/image522.png"/><Relationship Id="rId522" Type="http://schemas.openxmlformats.org/officeDocument/2006/relationships/image" Target="media/image521.png"/><Relationship Id="rId521" Type="http://schemas.openxmlformats.org/officeDocument/2006/relationships/image" Target="media/image520.png"/><Relationship Id="rId520" Type="http://schemas.openxmlformats.org/officeDocument/2006/relationships/image" Target="media/image519.png"/><Relationship Id="rId52" Type="http://schemas.openxmlformats.org/officeDocument/2006/relationships/image" Target="media/image51.png"/><Relationship Id="rId519" Type="http://schemas.openxmlformats.org/officeDocument/2006/relationships/image" Target="media/image518.png"/><Relationship Id="rId518" Type="http://schemas.openxmlformats.org/officeDocument/2006/relationships/image" Target="media/image517.png"/><Relationship Id="rId517" Type="http://schemas.openxmlformats.org/officeDocument/2006/relationships/image" Target="media/image516.png"/><Relationship Id="rId516" Type="http://schemas.openxmlformats.org/officeDocument/2006/relationships/image" Target="media/image515.png"/><Relationship Id="rId515" Type="http://schemas.openxmlformats.org/officeDocument/2006/relationships/image" Target="media/image514.png"/><Relationship Id="rId514" Type="http://schemas.openxmlformats.org/officeDocument/2006/relationships/image" Target="media/image513.png"/><Relationship Id="rId513" Type="http://schemas.openxmlformats.org/officeDocument/2006/relationships/image" Target="media/image512.png"/><Relationship Id="rId512" Type="http://schemas.openxmlformats.org/officeDocument/2006/relationships/image" Target="media/image511.png"/><Relationship Id="rId511" Type="http://schemas.openxmlformats.org/officeDocument/2006/relationships/image" Target="media/image510.png"/><Relationship Id="rId510" Type="http://schemas.openxmlformats.org/officeDocument/2006/relationships/image" Target="media/image509.png"/><Relationship Id="rId51" Type="http://schemas.openxmlformats.org/officeDocument/2006/relationships/image" Target="media/image50.png"/><Relationship Id="rId509" Type="http://schemas.openxmlformats.org/officeDocument/2006/relationships/image" Target="media/image508.png"/><Relationship Id="rId508" Type="http://schemas.openxmlformats.org/officeDocument/2006/relationships/image" Target="media/image507.png"/><Relationship Id="rId507" Type="http://schemas.openxmlformats.org/officeDocument/2006/relationships/image" Target="media/image506.png"/><Relationship Id="rId506" Type="http://schemas.openxmlformats.org/officeDocument/2006/relationships/image" Target="media/image505.png"/><Relationship Id="rId505" Type="http://schemas.openxmlformats.org/officeDocument/2006/relationships/image" Target="media/image504.png"/><Relationship Id="rId504" Type="http://schemas.openxmlformats.org/officeDocument/2006/relationships/image" Target="media/image503.png"/><Relationship Id="rId503" Type="http://schemas.openxmlformats.org/officeDocument/2006/relationships/image" Target="media/image502.png"/><Relationship Id="rId502" Type="http://schemas.openxmlformats.org/officeDocument/2006/relationships/image" Target="media/image501.png"/><Relationship Id="rId501" Type="http://schemas.openxmlformats.org/officeDocument/2006/relationships/image" Target="media/image500.png"/><Relationship Id="rId500" Type="http://schemas.openxmlformats.org/officeDocument/2006/relationships/image" Target="media/image499.png"/><Relationship Id="rId50" Type="http://schemas.openxmlformats.org/officeDocument/2006/relationships/image" Target="media/image49.png"/><Relationship Id="rId5" Type="http://schemas.openxmlformats.org/officeDocument/2006/relationships/image" Target="media/image4.png"/><Relationship Id="rId499" Type="http://schemas.openxmlformats.org/officeDocument/2006/relationships/image" Target="media/image498.png"/><Relationship Id="rId498" Type="http://schemas.openxmlformats.org/officeDocument/2006/relationships/image" Target="media/image497.png"/><Relationship Id="rId497" Type="http://schemas.openxmlformats.org/officeDocument/2006/relationships/image" Target="media/image496.png"/><Relationship Id="rId496" Type="http://schemas.openxmlformats.org/officeDocument/2006/relationships/image" Target="media/image495.png"/><Relationship Id="rId495" Type="http://schemas.openxmlformats.org/officeDocument/2006/relationships/image" Target="media/image494.png"/><Relationship Id="rId494" Type="http://schemas.openxmlformats.org/officeDocument/2006/relationships/image" Target="media/image493.png"/><Relationship Id="rId493" Type="http://schemas.openxmlformats.org/officeDocument/2006/relationships/image" Target="media/image492.png"/><Relationship Id="rId492" Type="http://schemas.openxmlformats.org/officeDocument/2006/relationships/image" Target="media/image491.png"/><Relationship Id="rId491" Type="http://schemas.openxmlformats.org/officeDocument/2006/relationships/image" Target="media/image490.png"/><Relationship Id="rId490" Type="http://schemas.openxmlformats.org/officeDocument/2006/relationships/image" Target="media/image489.png"/><Relationship Id="rId49" Type="http://schemas.openxmlformats.org/officeDocument/2006/relationships/image" Target="media/image48.png"/><Relationship Id="rId489" Type="http://schemas.openxmlformats.org/officeDocument/2006/relationships/image" Target="media/image488.png"/><Relationship Id="rId488" Type="http://schemas.openxmlformats.org/officeDocument/2006/relationships/image" Target="media/image487.png"/><Relationship Id="rId487" Type="http://schemas.openxmlformats.org/officeDocument/2006/relationships/image" Target="media/image486.png"/><Relationship Id="rId486" Type="http://schemas.openxmlformats.org/officeDocument/2006/relationships/image" Target="media/image485.png"/><Relationship Id="rId485" Type="http://schemas.openxmlformats.org/officeDocument/2006/relationships/image" Target="media/image484.png"/><Relationship Id="rId484" Type="http://schemas.openxmlformats.org/officeDocument/2006/relationships/image" Target="media/image483.png"/><Relationship Id="rId483" Type="http://schemas.openxmlformats.org/officeDocument/2006/relationships/image" Target="media/image482.png"/><Relationship Id="rId482" Type="http://schemas.openxmlformats.org/officeDocument/2006/relationships/image" Target="media/image481.png"/><Relationship Id="rId481" Type="http://schemas.openxmlformats.org/officeDocument/2006/relationships/image" Target="media/image480.png"/><Relationship Id="rId480" Type="http://schemas.openxmlformats.org/officeDocument/2006/relationships/image" Target="media/image479.png"/><Relationship Id="rId48" Type="http://schemas.openxmlformats.org/officeDocument/2006/relationships/image" Target="media/image47.png"/><Relationship Id="rId479" Type="http://schemas.openxmlformats.org/officeDocument/2006/relationships/image" Target="media/image478.png"/><Relationship Id="rId478" Type="http://schemas.openxmlformats.org/officeDocument/2006/relationships/image" Target="media/image477.png"/><Relationship Id="rId477" Type="http://schemas.openxmlformats.org/officeDocument/2006/relationships/image" Target="media/image476.png"/><Relationship Id="rId476" Type="http://schemas.openxmlformats.org/officeDocument/2006/relationships/image" Target="media/image475.png"/><Relationship Id="rId475" Type="http://schemas.openxmlformats.org/officeDocument/2006/relationships/image" Target="media/image474.png"/><Relationship Id="rId474" Type="http://schemas.openxmlformats.org/officeDocument/2006/relationships/image" Target="media/image473.png"/><Relationship Id="rId473" Type="http://schemas.openxmlformats.org/officeDocument/2006/relationships/image" Target="media/image472.png"/><Relationship Id="rId472" Type="http://schemas.openxmlformats.org/officeDocument/2006/relationships/image" Target="media/image471.png"/><Relationship Id="rId471" Type="http://schemas.openxmlformats.org/officeDocument/2006/relationships/image" Target="media/image470.png"/><Relationship Id="rId470" Type="http://schemas.openxmlformats.org/officeDocument/2006/relationships/image" Target="media/image469.png"/><Relationship Id="rId47" Type="http://schemas.openxmlformats.org/officeDocument/2006/relationships/image" Target="media/image46.png"/><Relationship Id="rId469" Type="http://schemas.openxmlformats.org/officeDocument/2006/relationships/image" Target="media/image468.png"/><Relationship Id="rId468" Type="http://schemas.openxmlformats.org/officeDocument/2006/relationships/image" Target="media/image467.png"/><Relationship Id="rId467" Type="http://schemas.openxmlformats.org/officeDocument/2006/relationships/image" Target="media/image466.png"/><Relationship Id="rId466" Type="http://schemas.openxmlformats.org/officeDocument/2006/relationships/image" Target="media/image465.png"/><Relationship Id="rId465" Type="http://schemas.openxmlformats.org/officeDocument/2006/relationships/image" Target="media/image464.png"/><Relationship Id="rId464" Type="http://schemas.openxmlformats.org/officeDocument/2006/relationships/image" Target="media/image463.png"/><Relationship Id="rId463" Type="http://schemas.openxmlformats.org/officeDocument/2006/relationships/image" Target="media/image462.png"/><Relationship Id="rId462" Type="http://schemas.openxmlformats.org/officeDocument/2006/relationships/image" Target="media/image461.png"/><Relationship Id="rId461" Type="http://schemas.openxmlformats.org/officeDocument/2006/relationships/image" Target="media/image460.png"/><Relationship Id="rId460" Type="http://schemas.openxmlformats.org/officeDocument/2006/relationships/image" Target="media/image459.png"/><Relationship Id="rId46" Type="http://schemas.openxmlformats.org/officeDocument/2006/relationships/image" Target="media/image45.png"/><Relationship Id="rId459" Type="http://schemas.openxmlformats.org/officeDocument/2006/relationships/image" Target="media/image458.png"/><Relationship Id="rId458" Type="http://schemas.openxmlformats.org/officeDocument/2006/relationships/image" Target="media/image457.png"/><Relationship Id="rId457" Type="http://schemas.openxmlformats.org/officeDocument/2006/relationships/image" Target="media/image456.png"/><Relationship Id="rId456" Type="http://schemas.openxmlformats.org/officeDocument/2006/relationships/image" Target="media/image455.png"/><Relationship Id="rId455" Type="http://schemas.openxmlformats.org/officeDocument/2006/relationships/image" Target="media/image454.png"/><Relationship Id="rId454" Type="http://schemas.openxmlformats.org/officeDocument/2006/relationships/image" Target="media/image453.png"/><Relationship Id="rId453" Type="http://schemas.openxmlformats.org/officeDocument/2006/relationships/image" Target="media/image452.png"/><Relationship Id="rId452" Type="http://schemas.openxmlformats.org/officeDocument/2006/relationships/image" Target="media/image451.png"/><Relationship Id="rId451" Type="http://schemas.openxmlformats.org/officeDocument/2006/relationships/image" Target="media/image450.png"/><Relationship Id="rId450" Type="http://schemas.openxmlformats.org/officeDocument/2006/relationships/image" Target="media/image449.png"/><Relationship Id="rId45" Type="http://schemas.openxmlformats.org/officeDocument/2006/relationships/image" Target="media/image44.png"/><Relationship Id="rId449" Type="http://schemas.openxmlformats.org/officeDocument/2006/relationships/image" Target="media/image448.png"/><Relationship Id="rId448" Type="http://schemas.openxmlformats.org/officeDocument/2006/relationships/image" Target="media/image447.png"/><Relationship Id="rId447" Type="http://schemas.openxmlformats.org/officeDocument/2006/relationships/image" Target="media/image446.png"/><Relationship Id="rId446" Type="http://schemas.openxmlformats.org/officeDocument/2006/relationships/image" Target="media/image445.png"/><Relationship Id="rId445" Type="http://schemas.openxmlformats.org/officeDocument/2006/relationships/image" Target="media/image444.png"/><Relationship Id="rId444" Type="http://schemas.openxmlformats.org/officeDocument/2006/relationships/image" Target="media/image443.png"/><Relationship Id="rId443" Type="http://schemas.openxmlformats.org/officeDocument/2006/relationships/image" Target="media/image442.png"/><Relationship Id="rId442" Type="http://schemas.openxmlformats.org/officeDocument/2006/relationships/image" Target="media/image441.png"/><Relationship Id="rId441" Type="http://schemas.openxmlformats.org/officeDocument/2006/relationships/image" Target="media/image440.png"/><Relationship Id="rId440" Type="http://schemas.openxmlformats.org/officeDocument/2006/relationships/image" Target="media/image439.png"/><Relationship Id="rId44" Type="http://schemas.openxmlformats.org/officeDocument/2006/relationships/image" Target="media/image43.png"/><Relationship Id="rId439" Type="http://schemas.openxmlformats.org/officeDocument/2006/relationships/image" Target="media/image438.png"/><Relationship Id="rId438" Type="http://schemas.openxmlformats.org/officeDocument/2006/relationships/image" Target="media/image437.png"/><Relationship Id="rId437" Type="http://schemas.openxmlformats.org/officeDocument/2006/relationships/image" Target="media/image436.png"/><Relationship Id="rId436" Type="http://schemas.openxmlformats.org/officeDocument/2006/relationships/image" Target="media/image435.png"/><Relationship Id="rId435" Type="http://schemas.openxmlformats.org/officeDocument/2006/relationships/image" Target="media/image434.png"/><Relationship Id="rId434" Type="http://schemas.openxmlformats.org/officeDocument/2006/relationships/image" Target="media/image433.png"/><Relationship Id="rId433" Type="http://schemas.openxmlformats.org/officeDocument/2006/relationships/image" Target="media/image432.png"/><Relationship Id="rId432" Type="http://schemas.openxmlformats.org/officeDocument/2006/relationships/image" Target="media/image431.png"/><Relationship Id="rId431" Type="http://schemas.openxmlformats.org/officeDocument/2006/relationships/image" Target="media/image430.png"/><Relationship Id="rId430" Type="http://schemas.openxmlformats.org/officeDocument/2006/relationships/image" Target="media/image429.png"/><Relationship Id="rId43" Type="http://schemas.openxmlformats.org/officeDocument/2006/relationships/image" Target="media/image42.png"/><Relationship Id="rId429" Type="http://schemas.openxmlformats.org/officeDocument/2006/relationships/image" Target="media/image428.png"/><Relationship Id="rId428" Type="http://schemas.openxmlformats.org/officeDocument/2006/relationships/image" Target="media/image427.png"/><Relationship Id="rId427" Type="http://schemas.openxmlformats.org/officeDocument/2006/relationships/image" Target="media/image426.png"/><Relationship Id="rId426" Type="http://schemas.openxmlformats.org/officeDocument/2006/relationships/image" Target="media/image425.png"/><Relationship Id="rId425" Type="http://schemas.openxmlformats.org/officeDocument/2006/relationships/image" Target="media/image424.png"/><Relationship Id="rId424" Type="http://schemas.openxmlformats.org/officeDocument/2006/relationships/image" Target="media/image423.png"/><Relationship Id="rId423" Type="http://schemas.openxmlformats.org/officeDocument/2006/relationships/image" Target="media/image422.png"/><Relationship Id="rId422" Type="http://schemas.openxmlformats.org/officeDocument/2006/relationships/image" Target="media/image421.png"/><Relationship Id="rId421" Type="http://schemas.openxmlformats.org/officeDocument/2006/relationships/image" Target="media/image420.png"/><Relationship Id="rId420" Type="http://schemas.openxmlformats.org/officeDocument/2006/relationships/image" Target="media/image419.png"/><Relationship Id="rId42" Type="http://schemas.openxmlformats.org/officeDocument/2006/relationships/image" Target="media/image41.png"/><Relationship Id="rId419" Type="http://schemas.openxmlformats.org/officeDocument/2006/relationships/image" Target="media/image418.png"/><Relationship Id="rId418" Type="http://schemas.openxmlformats.org/officeDocument/2006/relationships/image" Target="media/image417.png"/><Relationship Id="rId417" Type="http://schemas.openxmlformats.org/officeDocument/2006/relationships/image" Target="media/image416.png"/><Relationship Id="rId416" Type="http://schemas.openxmlformats.org/officeDocument/2006/relationships/image" Target="media/image415.png"/><Relationship Id="rId415" Type="http://schemas.openxmlformats.org/officeDocument/2006/relationships/image" Target="media/image414.png"/><Relationship Id="rId414" Type="http://schemas.openxmlformats.org/officeDocument/2006/relationships/image" Target="media/image413.png"/><Relationship Id="rId413" Type="http://schemas.openxmlformats.org/officeDocument/2006/relationships/image" Target="media/image412.png"/><Relationship Id="rId412" Type="http://schemas.openxmlformats.org/officeDocument/2006/relationships/image" Target="media/image411.png"/><Relationship Id="rId411" Type="http://schemas.openxmlformats.org/officeDocument/2006/relationships/image" Target="media/image410.png"/><Relationship Id="rId410" Type="http://schemas.openxmlformats.org/officeDocument/2006/relationships/image" Target="media/image409.png"/><Relationship Id="rId41" Type="http://schemas.openxmlformats.org/officeDocument/2006/relationships/image" Target="media/image40.png"/><Relationship Id="rId409" Type="http://schemas.openxmlformats.org/officeDocument/2006/relationships/image" Target="media/image408.png"/><Relationship Id="rId408" Type="http://schemas.openxmlformats.org/officeDocument/2006/relationships/image" Target="media/image407.png"/><Relationship Id="rId407" Type="http://schemas.openxmlformats.org/officeDocument/2006/relationships/image" Target="media/image406.png"/><Relationship Id="rId406" Type="http://schemas.openxmlformats.org/officeDocument/2006/relationships/image" Target="media/image405.png"/><Relationship Id="rId405" Type="http://schemas.openxmlformats.org/officeDocument/2006/relationships/image" Target="media/image404.png"/><Relationship Id="rId404" Type="http://schemas.openxmlformats.org/officeDocument/2006/relationships/image" Target="media/image403.png"/><Relationship Id="rId403" Type="http://schemas.openxmlformats.org/officeDocument/2006/relationships/image" Target="media/image402.png"/><Relationship Id="rId402" Type="http://schemas.openxmlformats.org/officeDocument/2006/relationships/image" Target="media/image401.png"/><Relationship Id="rId401" Type="http://schemas.openxmlformats.org/officeDocument/2006/relationships/image" Target="media/image400.png"/><Relationship Id="rId400" Type="http://schemas.openxmlformats.org/officeDocument/2006/relationships/image" Target="media/image399.png"/><Relationship Id="rId40" Type="http://schemas.openxmlformats.org/officeDocument/2006/relationships/image" Target="media/image39.png"/><Relationship Id="rId4" Type="http://schemas.openxmlformats.org/officeDocument/2006/relationships/image" Target="media/image3.png"/><Relationship Id="rId399" Type="http://schemas.openxmlformats.org/officeDocument/2006/relationships/image" Target="media/image398.png"/><Relationship Id="rId398" Type="http://schemas.openxmlformats.org/officeDocument/2006/relationships/image" Target="media/image397.png"/><Relationship Id="rId397" Type="http://schemas.openxmlformats.org/officeDocument/2006/relationships/image" Target="media/image396.png"/><Relationship Id="rId396" Type="http://schemas.openxmlformats.org/officeDocument/2006/relationships/image" Target="media/image395.png"/><Relationship Id="rId395" Type="http://schemas.openxmlformats.org/officeDocument/2006/relationships/image" Target="media/image394.png"/><Relationship Id="rId394" Type="http://schemas.openxmlformats.org/officeDocument/2006/relationships/image" Target="media/image393.png"/><Relationship Id="rId393" Type="http://schemas.openxmlformats.org/officeDocument/2006/relationships/image" Target="media/image392.png"/><Relationship Id="rId392" Type="http://schemas.openxmlformats.org/officeDocument/2006/relationships/image" Target="media/image391.png"/><Relationship Id="rId391" Type="http://schemas.openxmlformats.org/officeDocument/2006/relationships/image" Target="media/image390.png"/><Relationship Id="rId390" Type="http://schemas.openxmlformats.org/officeDocument/2006/relationships/image" Target="media/image389.png"/><Relationship Id="rId39" Type="http://schemas.openxmlformats.org/officeDocument/2006/relationships/image" Target="media/image38.png"/><Relationship Id="rId389" Type="http://schemas.openxmlformats.org/officeDocument/2006/relationships/image" Target="media/image388.png"/><Relationship Id="rId388" Type="http://schemas.openxmlformats.org/officeDocument/2006/relationships/image" Target="media/image387.png"/><Relationship Id="rId387" Type="http://schemas.openxmlformats.org/officeDocument/2006/relationships/image" Target="media/image386.png"/><Relationship Id="rId386" Type="http://schemas.openxmlformats.org/officeDocument/2006/relationships/image" Target="media/image385.png"/><Relationship Id="rId385" Type="http://schemas.openxmlformats.org/officeDocument/2006/relationships/image" Target="media/image384.png"/><Relationship Id="rId384" Type="http://schemas.openxmlformats.org/officeDocument/2006/relationships/image" Target="media/image383.png"/><Relationship Id="rId383" Type="http://schemas.openxmlformats.org/officeDocument/2006/relationships/image" Target="media/image382.png"/><Relationship Id="rId382" Type="http://schemas.openxmlformats.org/officeDocument/2006/relationships/image" Target="media/image381.png"/><Relationship Id="rId381" Type="http://schemas.openxmlformats.org/officeDocument/2006/relationships/image" Target="media/image380.png"/><Relationship Id="rId380" Type="http://schemas.openxmlformats.org/officeDocument/2006/relationships/image" Target="media/image379.png"/><Relationship Id="rId38" Type="http://schemas.openxmlformats.org/officeDocument/2006/relationships/image" Target="media/image37.png"/><Relationship Id="rId379" Type="http://schemas.openxmlformats.org/officeDocument/2006/relationships/image" Target="media/image378.png"/><Relationship Id="rId378" Type="http://schemas.openxmlformats.org/officeDocument/2006/relationships/image" Target="media/image377.png"/><Relationship Id="rId377" Type="http://schemas.openxmlformats.org/officeDocument/2006/relationships/image" Target="media/image376.png"/><Relationship Id="rId376" Type="http://schemas.openxmlformats.org/officeDocument/2006/relationships/image" Target="media/image375.png"/><Relationship Id="rId375" Type="http://schemas.openxmlformats.org/officeDocument/2006/relationships/image" Target="media/image374.png"/><Relationship Id="rId374" Type="http://schemas.openxmlformats.org/officeDocument/2006/relationships/image" Target="media/image373.png"/><Relationship Id="rId373" Type="http://schemas.openxmlformats.org/officeDocument/2006/relationships/image" Target="media/image372.png"/><Relationship Id="rId372" Type="http://schemas.openxmlformats.org/officeDocument/2006/relationships/image" Target="media/image371.png"/><Relationship Id="rId371" Type="http://schemas.openxmlformats.org/officeDocument/2006/relationships/image" Target="media/image370.png"/><Relationship Id="rId370" Type="http://schemas.openxmlformats.org/officeDocument/2006/relationships/image" Target="media/image369.png"/><Relationship Id="rId37" Type="http://schemas.openxmlformats.org/officeDocument/2006/relationships/image" Target="media/image36.png"/><Relationship Id="rId369" Type="http://schemas.openxmlformats.org/officeDocument/2006/relationships/image" Target="media/image368.png"/><Relationship Id="rId368" Type="http://schemas.openxmlformats.org/officeDocument/2006/relationships/image" Target="media/image367.png"/><Relationship Id="rId367" Type="http://schemas.openxmlformats.org/officeDocument/2006/relationships/image" Target="media/image366.png"/><Relationship Id="rId366" Type="http://schemas.openxmlformats.org/officeDocument/2006/relationships/image" Target="media/image365.png"/><Relationship Id="rId365" Type="http://schemas.openxmlformats.org/officeDocument/2006/relationships/image" Target="media/image364.png"/><Relationship Id="rId364" Type="http://schemas.openxmlformats.org/officeDocument/2006/relationships/image" Target="media/image363.png"/><Relationship Id="rId363" Type="http://schemas.openxmlformats.org/officeDocument/2006/relationships/image" Target="media/image362.png"/><Relationship Id="rId362" Type="http://schemas.openxmlformats.org/officeDocument/2006/relationships/image" Target="media/image361.png"/><Relationship Id="rId361" Type="http://schemas.openxmlformats.org/officeDocument/2006/relationships/image" Target="media/image360.png"/><Relationship Id="rId360" Type="http://schemas.openxmlformats.org/officeDocument/2006/relationships/image" Target="media/image359.png"/><Relationship Id="rId36" Type="http://schemas.openxmlformats.org/officeDocument/2006/relationships/image" Target="media/image35.png"/><Relationship Id="rId359" Type="http://schemas.openxmlformats.org/officeDocument/2006/relationships/image" Target="media/image358.png"/><Relationship Id="rId358" Type="http://schemas.openxmlformats.org/officeDocument/2006/relationships/image" Target="media/image357.png"/><Relationship Id="rId357" Type="http://schemas.openxmlformats.org/officeDocument/2006/relationships/image" Target="media/image356.png"/><Relationship Id="rId356" Type="http://schemas.openxmlformats.org/officeDocument/2006/relationships/image" Target="media/image355.png"/><Relationship Id="rId355" Type="http://schemas.openxmlformats.org/officeDocument/2006/relationships/image" Target="media/image354.png"/><Relationship Id="rId354" Type="http://schemas.openxmlformats.org/officeDocument/2006/relationships/image" Target="media/image353.png"/><Relationship Id="rId353" Type="http://schemas.openxmlformats.org/officeDocument/2006/relationships/image" Target="media/image352.png"/><Relationship Id="rId352" Type="http://schemas.openxmlformats.org/officeDocument/2006/relationships/image" Target="media/image351.png"/><Relationship Id="rId351" Type="http://schemas.openxmlformats.org/officeDocument/2006/relationships/image" Target="media/image350.png"/><Relationship Id="rId350" Type="http://schemas.openxmlformats.org/officeDocument/2006/relationships/image" Target="media/image349.png"/><Relationship Id="rId35" Type="http://schemas.openxmlformats.org/officeDocument/2006/relationships/image" Target="media/image34.png"/><Relationship Id="rId349" Type="http://schemas.openxmlformats.org/officeDocument/2006/relationships/image" Target="media/image348.png"/><Relationship Id="rId348" Type="http://schemas.openxmlformats.org/officeDocument/2006/relationships/image" Target="media/image347.png"/><Relationship Id="rId347" Type="http://schemas.openxmlformats.org/officeDocument/2006/relationships/image" Target="media/image346.png"/><Relationship Id="rId346" Type="http://schemas.openxmlformats.org/officeDocument/2006/relationships/image" Target="media/image345.png"/><Relationship Id="rId345" Type="http://schemas.openxmlformats.org/officeDocument/2006/relationships/image" Target="media/image344.png"/><Relationship Id="rId344" Type="http://schemas.openxmlformats.org/officeDocument/2006/relationships/image" Target="media/image343.png"/><Relationship Id="rId343" Type="http://schemas.openxmlformats.org/officeDocument/2006/relationships/image" Target="media/image342.png"/><Relationship Id="rId342" Type="http://schemas.openxmlformats.org/officeDocument/2006/relationships/image" Target="media/image341.png"/><Relationship Id="rId341" Type="http://schemas.openxmlformats.org/officeDocument/2006/relationships/image" Target="media/image340.png"/><Relationship Id="rId340" Type="http://schemas.openxmlformats.org/officeDocument/2006/relationships/image" Target="media/image339.png"/><Relationship Id="rId34" Type="http://schemas.openxmlformats.org/officeDocument/2006/relationships/image" Target="media/image33.png"/><Relationship Id="rId339" Type="http://schemas.openxmlformats.org/officeDocument/2006/relationships/image" Target="media/image338.png"/><Relationship Id="rId338" Type="http://schemas.openxmlformats.org/officeDocument/2006/relationships/image" Target="media/image337.png"/><Relationship Id="rId337" Type="http://schemas.openxmlformats.org/officeDocument/2006/relationships/image" Target="media/image336.png"/><Relationship Id="rId336" Type="http://schemas.openxmlformats.org/officeDocument/2006/relationships/image" Target="media/image335.png"/><Relationship Id="rId335" Type="http://schemas.openxmlformats.org/officeDocument/2006/relationships/image" Target="media/image334.png"/><Relationship Id="rId334" Type="http://schemas.openxmlformats.org/officeDocument/2006/relationships/image" Target="media/image333.png"/><Relationship Id="rId333" Type="http://schemas.openxmlformats.org/officeDocument/2006/relationships/image" Target="media/image332.png"/><Relationship Id="rId332" Type="http://schemas.openxmlformats.org/officeDocument/2006/relationships/image" Target="media/image331.png"/><Relationship Id="rId331" Type="http://schemas.openxmlformats.org/officeDocument/2006/relationships/image" Target="media/image330.png"/><Relationship Id="rId330" Type="http://schemas.openxmlformats.org/officeDocument/2006/relationships/image" Target="media/image329.png"/><Relationship Id="rId33" Type="http://schemas.openxmlformats.org/officeDocument/2006/relationships/image" Target="media/image32.png"/><Relationship Id="rId329" Type="http://schemas.openxmlformats.org/officeDocument/2006/relationships/image" Target="media/image328.png"/><Relationship Id="rId328" Type="http://schemas.openxmlformats.org/officeDocument/2006/relationships/image" Target="media/image327.png"/><Relationship Id="rId327" Type="http://schemas.openxmlformats.org/officeDocument/2006/relationships/image" Target="media/image326.png"/><Relationship Id="rId326" Type="http://schemas.openxmlformats.org/officeDocument/2006/relationships/image" Target="media/image325.png"/><Relationship Id="rId325" Type="http://schemas.openxmlformats.org/officeDocument/2006/relationships/image" Target="media/image324.png"/><Relationship Id="rId324" Type="http://schemas.openxmlformats.org/officeDocument/2006/relationships/image" Target="media/image323.png"/><Relationship Id="rId323" Type="http://schemas.openxmlformats.org/officeDocument/2006/relationships/image" Target="media/image322.png"/><Relationship Id="rId322" Type="http://schemas.openxmlformats.org/officeDocument/2006/relationships/image" Target="media/image321.png"/><Relationship Id="rId321" Type="http://schemas.openxmlformats.org/officeDocument/2006/relationships/image" Target="media/image320.png"/><Relationship Id="rId320" Type="http://schemas.openxmlformats.org/officeDocument/2006/relationships/image" Target="media/image319.png"/><Relationship Id="rId32" Type="http://schemas.openxmlformats.org/officeDocument/2006/relationships/image" Target="media/image31.png"/><Relationship Id="rId319" Type="http://schemas.openxmlformats.org/officeDocument/2006/relationships/image" Target="media/image318.png"/><Relationship Id="rId318" Type="http://schemas.openxmlformats.org/officeDocument/2006/relationships/image" Target="media/image317.png"/><Relationship Id="rId317" Type="http://schemas.openxmlformats.org/officeDocument/2006/relationships/image" Target="media/image316.png"/><Relationship Id="rId316" Type="http://schemas.openxmlformats.org/officeDocument/2006/relationships/image" Target="media/image315.png"/><Relationship Id="rId315" Type="http://schemas.openxmlformats.org/officeDocument/2006/relationships/image" Target="media/image314.png"/><Relationship Id="rId314" Type="http://schemas.openxmlformats.org/officeDocument/2006/relationships/image" Target="media/image313.png"/><Relationship Id="rId313" Type="http://schemas.openxmlformats.org/officeDocument/2006/relationships/image" Target="media/image312.png"/><Relationship Id="rId312" Type="http://schemas.openxmlformats.org/officeDocument/2006/relationships/image" Target="media/image311.png"/><Relationship Id="rId311" Type="http://schemas.openxmlformats.org/officeDocument/2006/relationships/image" Target="media/image310.png"/><Relationship Id="rId310" Type="http://schemas.openxmlformats.org/officeDocument/2006/relationships/image" Target="media/image309.png"/><Relationship Id="rId31" Type="http://schemas.openxmlformats.org/officeDocument/2006/relationships/image" Target="media/image30.png"/><Relationship Id="rId309" Type="http://schemas.openxmlformats.org/officeDocument/2006/relationships/image" Target="media/image308.png"/><Relationship Id="rId308" Type="http://schemas.openxmlformats.org/officeDocument/2006/relationships/image" Target="media/image307.png"/><Relationship Id="rId307" Type="http://schemas.openxmlformats.org/officeDocument/2006/relationships/image" Target="media/image306.png"/><Relationship Id="rId306" Type="http://schemas.openxmlformats.org/officeDocument/2006/relationships/image" Target="media/image305.png"/><Relationship Id="rId305" Type="http://schemas.openxmlformats.org/officeDocument/2006/relationships/image" Target="media/image304.png"/><Relationship Id="rId304" Type="http://schemas.openxmlformats.org/officeDocument/2006/relationships/image" Target="media/image303.png"/><Relationship Id="rId303" Type="http://schemas.openxmlformats.org/officeDocument/2006/relationships/image" Target="media/image302.png"/><Relationship Id="rId302" Type="http://schemas.openxmlformats.org/officeDocument/2006/relationships/image" Target="media/image301.png"/><Relationship Id="rId301" Type="http://schemas.openxmlformats.org/officeDocument/2006/relationships/image" Target="media/image300.png"/><Relationship Id="rId300" Type="http://schemas.openxmlformats.org/officeDocument/2006/relationships/image" Target="media/image299.png"/><Relationship Id="rId30" Type="http://schemas.openxmlformats.org/officeDocument/2006/relationships/image" Target="media/image29.png"/><Relationship Id="rId3" Type="http://schemas.openxmlformats.org/officeDocument/2006/relationships/image" Target="NULL" TargetMode="External"/><Relationship Id="rId299" Type="http://schemas.openxmlformats.org/officeDocument/2006/relationships/image" Target="media/image298.png"/><Relationship Id="rId298" Type="http://schemas.openxmlformats.org/officeDocument/2006/relationships/image" Target="media/image297.png"/><Relationship Id="rId297" Type="http://schemas.openxmlformats.org/officeDocument/2006/relationships/image" Target="media/image296.png"/><Relationship Id="rId296" Type="http://schemas.openxmlformats.org/officeDocument/2006/relationships/image" Target="media/image295.png"/><Relationship Id="rId295" Type="http://schemas.openxmlformats.org/officeDocument/2006/relationships/image" Target="media/image294.png"/><Relationship Id="rId294" Type="http://schemas.openxmlformats.org/officeDocument/2006/relationships/image" Target="media/image293.png"/><Relationship Id="rId293" Type="http://schemas.openxmlformats.org/officeDocument/2006/relationships/image" Target="media/image292.png"/><Relationship Id="rId292" Type="http://schemas.openxmlformats.org/officeDocument/2006/relationships/image" Target="media/image291.png"/><Relationship Id="rId291" Type="http://schemas.openxmlformats.org/officeDocument/2006/relationships/image" Target="media/image290.png"/><Relationship Id="rId290" Type="http://schemas.openxmlformats.org/officeDocument/2006/relationships/image" Target="media/image289.png"/><Relationship Id="rId29" Type="http://schemas.openxmlformats.org/officeDocument/2006/relationships/image" Target="media/image28.png"/><Relationship Id="rId289" Type="http://schemas.openxmlformats.org/officeDocument/2006/relationships/image" Target="media/image288.png"/><Relationship Id="rId288" Type="http://schemas.openxmlformats.org/officeDocument/2006/relationships/image" Target="media/image287.png"/><Relationship Id="rId287" Type="http://schemas.openxmlformats.org/officeDocument/2006/relationships/image" Target="media/image286.png"/><Relationship Id="rId286" Type="http://schemas.openxmlformats.org/officeDocument/2006/relationships/image" Target="media/image285.png"/><Relationship Id="rId285" Type="http://schemas.openxmlformats.org/officeDocument/2006/relationships/image" Target="media/image284.png"/><Relationship Id="rId284" Type="http://schemas.openxmlformats.org/officeDocument/2006/relationships/image" Target="media/image283.png"/><Relationship Id="rId283" Type="http://schemas.openxmlformats.org/officeDocument/2006/relationships/image" Target="media/image282.png"/><Relationship Id="rId282" Type="http://schemas.openxmlformats.org/officeDocument/2006/relationships/image" Target="media/image281.png"/><Relationship Id="rId281" Type="http://schemas.openxmlformats.org/officeDocument/2006/relationships/image" Target="media/image280.png"/><Relationship Id="rId280" Type="http://schemas.openxmlformats.org/officeDocument/2006/relationships/image" Target="media/image279.png"/><Relationship Id="rId28" Type="http://schemas.openxmlformats.org/officeDocument/2006/relationships/image" Target="media/image27.png"/><Relationship Id="rId279" Type="http://schemas.openxmlformats.org/officeDocument/2006/relationships/image" Target="media/image278.png"/><Relationship Id="rId278" Type="http://schemas.openxmlformats.org/officeDocument/2006/relationships/image" Target="media/image277.png"/><Relationship Id="rId277" Type="http://schemas.openxmlformats.org/officeDocument/2006/relationships/image" Target="media/image276.png"/><Relationship Id="rId276" Type="http://schemas.openxmlformats.org/officeDocument/2006/relationships/image" Target="media/image275.png"/><Relationship Id="rId275" Type="http://schemas.openxmlformats.org/officeDocument/2006/relationships/image" Target="media/image274.png"/><Relationship Id="rId274" Type="http://schemas.openxmlformats.org/officeDocument/2006/relationships/image" Target="media/image273.png"/><Relationship Id="rId273" Type="http://schemas.openxmlformats.org/officeDocument/2006/relationships/image" Target="media/image272.png"/><Relationship Id="rId272" Type="http://schemas.openxmlformats.org/officeDocument/2006/relationships/image" Target="media/image271.png"/><Relationship Id="rId271" Type="http://schemas.openxmlformats.org/officeDocument/2006/relationships/image" Target="media/image270.png"/><Relationship Id="rId270" Type="http://schemas.openxmlformats.org/officeDocument/2006/relationships/image" Target="media/image269.png"/><Relationship Id="rId27" Type="http://schemas.openxmlformats.org/officeDocument/2006/relationships/image" Target="media/image26.png"/><Relationship Id="rId269" Type="http://schemas.openxmlformats.org/officeDocument/2006/relationships/image" Target="media/image268.png"/><Relationship Id="rId268" Type="http://schemas.openxmlformats.org/officeDocument/2006/relationships/image" Target="media/image267.png"/><Relationship Id="rId267" Type="http://schemas.openxmlformats.org/officeDocument/2006/relationships/image" Target="media/image266.png"/><Relationship Id="rId266" Type="http://schemas.openxmlformats.org/officeDocument/2006/relationships/image" Target="media/image265.png"/><Relationship Id="rId265" Type="http://schemas.openxmlformats.org/officeDocument/2006/relationships/image" Target="media/image264.png"/><Relationship Id="rId264" Type="http://schemas.openxmlformats.org/officeDocument/2006/relationships/image" Target="media/image263.png"/><Relationship Id="rId263" Type="http://schemas.openxmlformats.org/officeDocument/2006/relationships/image" Target="media/image262.png"/><Relationship Id="rId262" Type="http://schemas.openxmlformats.org/officeDocument/2006/relationships/image" Target="media/image261.png"/><Relationship Id="rId261" Type="http://schemas.openxmlformats.org/officeDocument/2006/relationships/image" Target="media/image260.png"/><Relationship Id="rId260" Type="http://schemas.openxmlformats.org/officeDocument/2006/relationships/image" Target="media/image259.png"/><Relationship Id="rId26" Type="http://schemas.openxmlformats.org/officeDocument/2006/relationships/image" Target="media/image25.png"/><Relationship Id="rId259" Type="http://schemas.openxmlformats.org/officeDocument/2006/relationships/image" Target="media/image258.png"/><Relationship Id="rId258" Type="http://schemas.openxmlformats.org/officeDocument/2006/relationships/image" Target="media/image257.png"/><Relationship Id="rId257" Type="http://schemas.openxmlformats.org/officeDocument/2006/relationships/image" Target="media/image256.png"/><Relationship Id="rId256" Type="http://schemas.openxmlformats.org/officeDocument/2006/relationships/image" Target="media/image255.png"/><Relationship Id="rId255" Type="http://schemas.openxmlformats.org/officeDocument/2006/relationships/image" Target="media/image254.png"/><Relationship Id="rId254" Type="http://schemas.openxmlformats.org/officeDocument/2006/relationships/image" Target="media/image253.png"/><Relationship Id="rId253" Type="http://schemas.openxmlformats.org/officeDocument/2006/relationships/image" Target="media/image252.png"/><Relationship Id="rId252" Type="http://schemas.openxmlformats.org/officeDocument/2006/relationships/image" Target="media/image251.png"/><Relationship Id="rId251" Type="http://schemas.openxmlformats.org/officeDocument/2006/relationships/image" Target="media/image250.png"/><Relationship Id="rId250" Type="http://schemas.openxmlformats.org/officeDocument/2006/relationships/image" Target="media/image249.png"/><Relationship Id="rId25" Type="http://schemas.openxmlformats.org/officeDocument/2006/relationships/image" Target="media/image24.png"/><Relationship Id="rId249" Type="http://schemas.openxmlformats.org/officeDocument/2006/relationships/image" Target="media/image248.png"/><Relationship Id="rId248" Type="http://schemas.openxmlformats.org/officeDocument/2006/relationships/image" Target="media/image247.png"/><Relationship Id="rId247" Type="http://schemas.openxmlformats.org/officeDocument/2006/relationships/image" Target="media/image246.png"/><Relationship Id="rId246" Type="http://schemas.openxmlformats.org/officeDocument/2006/relationships/image" Target="media/image245.png"/><Relationship Id="rId245" Type="http://schemas.openxmlformats.org/officeDocument/2006/relationships/image" Target="media/image244.png"/><Relationship Id="rId244" Type="http://schemas.openxmlformats.org/officeDocument/2006/relationships/image" Target="media/image243.png"/><Relationship Id="rId243" Type="http://schemas.openxmlformats.org/officeDocument/2006/relationships/image" Target="media/image242.png"/><Relationship Id="rId242" Type="http://schemas.openxmlformats.org/officeDocument/2006/relationships/image" Target="media/image241.png"/><Relationship Id="rId241" Type="http://schemas.openxmlformats.org/officeDocument/2006/relationships/image" Target="media/image240.png"/><Relationship Id="rId240" Type="http://schemas.openxmlformats.org/officeDocument/2006/relationships/image" Target="media/image239.png"/><Relationship Id="rId24" Type="http://schemas.openxmlformats.org/officeDocument/2006/relationships/image" Target="media/image23.png"/><Relationship Id="rId239" Type="http://schemas.openxmlformats.org/officeDocument/2006/relationships/image" Target="media/image238.png"/><Relationship Id="rId238" Type="http://schemas.openxmlformats.org/officeDocument/2006/relationships/image" Target="media/image237.png"/><Relationship Id="rId237" Type="http://schemas.openxmlformats.org/officeDocument/2006/relationships/image" Target="media/image236.png"/><Relationship Id="rId236" Type="http://schemas.openxmlformats.org/officeDocument/2006/relationships/image" Target="media/image235.png"/><Relationship Id="rId235" Type="http://schemas.openxmlformats.org/officeDocument/2006/relationships/image" Target="media/image234.png"/><Relationship Id="rId234" Type="http://schemas.openxmlformats.org/officeDocument/2006/relationships/image" Target="media/image233.png"/><Relationship Id="rId233" Type="http://schemas.openxmlformats.org/officeDocument/2006/relationships/image" Target="media/image232.png"/><Relationship Id="rId232" Type="http://schemas.openxmlformats.org/officeDocument/2006/relationships/image" Target="media/image231.png"/><Relationship Id="rId231" Type="http://schemas.openxmlformats.org/officeDocument/2006/relationships/image" Target="media/image230.png"/><Relationship Id="rId230" Type="http://schemas.openxmlformats.org/officeDocument/2006/relationships/image" Target="media/image229.png"/><Relationship Id="rId23" Type="http://schemas.openxmlformats.org/officeDocument/2006/relationships/image" Target="media/image22.png"/><Relationship Id="rId229" Type="http://schemas.openxmlformats.org/officeDocument/2006/relationships/image" Target="media/image228.png"/><Relationship Id="rId228" Type="http://schemas.openxmlformats.org/officeDocument/2006/relationships/image" Target="media/image227.png"/><Relationship Id="rId227" Type="http://schemas.openxmlformats.org/officeDocument/2006/relationships/image" Target="media/image226.png"/><Relationship Id="rId226" Type="http://schemas.openxmlformats.org/officeDocument/2006/relationships/image" Target="media/image225.png"/><Relationship Id="rId225" Type="http://schemas.openxmlformats.org/officeDocument/2006/relationships/image" Target="media/image224.png"/><Relationship Id="rId224" Type="http://schemas.openxmlformats.org/officeDocument/2006/relationships/image" Target="media/image223.png"/><Relationship Id="rId223" Type="http://schemas.openxmlformats.org/officeDocument/2006/relationships/image" Target="media/image222.png"/><Relationship Id="rId222" Type="http://schemas.openxmlformats.org/officeDocument/2006/relationships/image" Target="media/image221.png"/><Relationship Id="rId221" Type="http://schemas.openxmlformats.org/officeDocument/2006/relationships/image" Target="media/image220.png"/><Relationship Id="rId220" Type="http://schemas.openxmlformats.org/officeDocument/2006/relationships/image" Target="media/image219.png"/><Relationship Id="rId22" Type="http://schemas.openxmlformats.org/officeDocument/2006/relationships/image" Target="media/image21.png"/><Relationship Id="rId219" Type="http://schemas.openxmlformats.org/officeDocument/2006/relationships/image" Target="media/image218.png"/><Relationship Id="rId218" Type="http://schemas.openxmlformats.org/officeDocument/2006/relationships/image" Target="media/image217.png"/><Relationship Id="rId217" Type="http://schemas.openxmlformats.org/officeDocument/2006/relationships/image" Target="media/image216.png"/><Relationship Id="rId216" Type="http://schemas.openxmlformats.org/officeDocument/2006/relationships/image" Target="media/image215.png"/><Relationship Id="rId215" Type="http://schemas.openxmlformats.org/officeDocument/2006/relationships/image" Target="media/image214.png"/><Relationship Id="rId214" Type="http://schemas.openxmlformats.org/officeDocument/2006/relationships/image" Target="media/image213.png"/><Relationship Id="rId213" Type="http://schemas.openxmlformats.org/officeDocument/2006/relationships/image" Target="media/image212.png"/><Relationship Id="rId212" Type="http://schemas.openxmlformats.org/officeDocument/2006/relationships/image" Target="media/image211.png"/><Relationship Id="rId211" Type="http://schemas.openxmlformats.org/officeDocument/2006/relationships/image" Target="media/image210.png"/><Relationship Id="rId210" Type="http://schemas.openxmlformats.org/officeDocument/2006/relationships/image" Target="media/image209.png"/><Relationship Id="rId21" Type="http://schemas.openxmlformats.org/officeDocument/2006/relationships/image" Target="media/image20.png"/><Relationship Id="rId209" Type="http://schemas.openxmlformats.org/officeDocument/2006/relationships/image" Target="media/image208.png"/><Relationship Id="rId208" Type="http://schemas.openxmlformats.org/officeDocument/2006/relationships/image" Target="media/image207.png"/><Relationship Id="rId207" Type="http://schemas.openxmlformats.org/officeDocument/2006/relationships/image" Target="media/image206.png"/><Relationship Id="rId206" Type="http://schemas.openxmlformats.org/officeDocument/2006/relationships/image" Target="media/image205.png"/><Relationship Id="rId205" Type="http://schemas.openxmlformats.org/officeDocument/2006/relationships/image" Target="media/image204.png"/><Relationship Id="rId204" Type="http://schemas.openxmlformats.org/officeDocument/2006/relationships/image" Target="media/image203.png"/><Relationship Id="rId203" Type="http://schemas.openxmlformats.org/officeDocument/2006/relationships/image" Target="media/image202.png"/><Relationship Id="rId202" Type="http://schemas.openxmlformats.org/officeDocument/2006/relationships/image" Target="media/image201.png"/><Relationship Id="rId201" Type="http://schemas.openxmlformats.org/officeDocument/2006/relationships/image" Target="media/image200.png"/><Relationship Id="rId200" Type="http://schemas.openxmlformats.org/officeDocument/2006/relationships/image" Target="media/image199.png"/><Relationship Id="rId20" Type="http://schemas.openxmlformats.org/officeDocument/2006/relationships/image" Target="media/image19.png"/><Relationship Id="rId2" Type="http://schemas.openxmlformats.org/officeDocument/2006/relationships/image" Target="media/image2.png"/><Relationship Id="rId199" Type="http://schemas.openxmlformats.org/officeDocument/2006/relationships/image" Target="media/image198.png"/><Relationship Id="rId198" Type="http://schemas.openxmlformats.org/officeDocument/2006/relationships/image" Target="media/image197.png"/><Relationship Id="rId197" Type="http://schemas.openxmlformats.org/officeDocument/2006/relationships/image" Target="media/image196.png"/><Relationship Id="rId196" Type="http://schemas.openxmlformats.org/officeDocument/2006/relationships/image" Target="media/image195.png"/><Relationship Id="rId195" Type="http://schemas.openxmlformats.org/officeDocument/2006/relationships/image" Target="media/image194.png"/><Relationship Id="rId194" Type="http://schemas.openxmlformats.org/officeDocument/2006/relationships/image" Target="media/image193.png"/><Relationship Id="rId193" Type="http://schemas.openxmlformats.org/officeDocument/2006/relationships/image" Target="media/image192.png"/><Relationship Id="rId192" Type="http://schemas.openxmlformats.org/officeDocument/2006/relationships/image" Target="media/image191.png"/><Relationship Id="rId191" Type="http://schemas.openxmlformats.org/officeDocument/2006/relationships/image" Target="media/image190.png"/><Relationship Id="rId190" Type="http://schemas.openxmlformats.org/officeDocument/2006/relationships/image" Target="media/image189.png"/><Relationship Id="rId19" Type="http://schemas.openxmlformats.org/officeDocument/2006/relationships/image" Target="media/image18.png"/><Relationship Id="rId189" Type="http://schemas.openxmlformats.org/officeDocument/2006/relationships/image" Target="media/image188.png"/><Relationship Id="rId188" Type="http://schemas.openxmlformats.org/officeDocument/2006/relationships/image" Target="media/image187.png"/><Relationship Id="rId187" Type="http://schemas.openxmlformats.org/officeDocument/2006/relationships/image" Target="media/image186.png"/><Relationship Id="rId186" Type="http://schemas.openxmlformats.org/officeDocument/2006/relationships/image" Target="media/image185.png"/><Relationship Id="rId185" Type="http://schemas.openxmlformats.org/officeDocument/2006/relationships/image" Target="media/image184.png"/><Relationship Id="rId184" Type="http://schemas.openxmlformats.org/officeDocument/2006/relationships/image" Target="media/image183.png"/><Relationship Id="rId183" Type="http://schemas.openxmlformats.org/officeDocument/2006/relationships/image" Target="media/image182.png"/><Relationship Id="rId182" Type="http://schemas.openxmlformats.org/officeDocument/2006/relationships/image" Target="media/image181.png"/><Relationship Id="rId181" Type="http://schemas.openxmlformats.org/officeDocument/2006/relationships/image" Target="media/image180.png"/><Relationship Id="rId180" Type="http://schemas.openxmlformats.org/officeDocument/2006/relationships/image" Target="media/image179.png"/><Relationship Id="rId18" Type="http://schemas.openxmlformats.org/officeDocument/2006/relationships/image" Target="media/image17.png"/><Relationship Id="rId179" Type="http://schemas.openxmlformats.org/officeDocument/2006/relationships/image" Target="media/image178.png"/><Relationship Id="rId178" Type="http://schemas.openxmlformats.org/officeDocument/2006/relationships/image" Target="media/image177.png"/><Relationship Id="rId177" Type="http://schemas.openxmlformats.org/officeDocument/2006/relationships/image" Target="media/image176.png"/><Relationship Id="rId176" Type="http://schemas.openxmlformats.org/officeDocument/2006/relationships/image" Target="media/image175.png"/><Relationship Id="rId175" Type="http://schemas.openxmlformats.org/officeDocument/2006/relationships/image" Target="media/image174.png"/><Relationship Id="rId174" Type="http://schemas.openxmlformats.org/officeDocument/2006/relationships/image" Target="media/image173.png"/><Relationship Id="rId173" Type="http://schemas.openxmlformats.org/officeDocument/2006/relationships/image" Target="media/image172.png"/><Relationship Id="rId172" Type="http://schemas.openxmlformats.org/officeDocument/2006/relationships/image" Target="media/image171.png"/><Relationship Id="rId171" Type="http://schemas.openxmlformats.org/officeDocument/2006/relationships/image" Target="media/image170.png"/><Relationship Id="rId170" Type="http://schemas.openxmlformats.org/officeDocument/2006/relationships/image" Target="media/image169.png"/><Relationship Id="rId17" Type="http://schemas.openxmlformats.org/officeDocument/2006/relationships/image" Target="media/image16.png"/><Relationship Id="rId169" Type="http://schemas.openxmlformats.org/officeDocument/2006/relationships/image" Target="media/image168.png"/><Relationship Id="rId168" Type="http://schemas.openxmlformats.org/officeDocument/2006/relationships/image" Target="media/image167.png"/><Relationship Id="rId167" Type="http://schemas.openxmlformats.org/officeDocument/2006/relationships/image" Target="media/image166.png"/><Relationship Id="rId166" Type="http://schemas.openxmlformats.org/officeDocument/2006/relationships/image" Target="media/image165.png"/><Relationship Id="rId165" Type="http://schemas.openxmlformats.org/officeDocument/2006/relationships/image" Target="media/image164.png"/><Relationship Id="rId164" Type="http://schemas.openxmlformats.org/officeDocument/2006/relationships/image" Target="media/image163.png"/><Relationship Id="rId163" Type="http://schemas.openxmlformats.org/officeDocument/2006/relationships/image" Target="media/image162.png"/><Relationship Id="rId162" Type="http://schemas.openxmlformats.org/officeDocument/2006/relationships/image" Target="media/image161.png"/><Relationship Id="rId161" Type="http://schemas.openxmlformats.org/officeDocument/2006/relationships/image" Target="media/image160.png"/><Relationship Id="rId160" Type="http://schemas.openxmlformats.org/officeDocument/2006/relationships/image" Target="media/image159.png"/><Relationship Id="rId16" Type="http://schemas.openxmlformats.org/officeDocument/2006/relationships/image" Target="media/image15.png"/><Relationship Id="rId159" Type="http://schemas.openxmlformats.org/officeDocument/2006/relationships/image" Target="media/image158.png"/><Relationship Id="rId158" Type="http://schemas.openxmlformats.org/officeDocument/2006/relationships/image" Target="media/image157.png"/><Relationship Id="rId157" Type="http://schemas.openxmlformats.org/officeDocument/2006/relationships/image" Target="media/image156.png"/><Relationship Id="rId156" Type="http://schemas.openxmlformats.org/officeDocument/2006/relationships/image" Target="media/image155.png"/><Relationship Id="rId155" Type="http://schemas.openxmlformats.org/officeDocument/2006/relationships/image" Target="media/image154.png"/><Relationship Id="rId154" Type="http://schemas.openxmlformats.org/officeDocument/2006/relationships/image" Target="media/image153.png"/><Relationship Id="rId153" Type="http://schemas.openxmlformats.org/officeDocument/2006/relationships/image" Target="media/image152.png"/><Relationship Id="rId152" Type="http://schemas.openxmlformats.org/officeDocument/2006/relationships/image" Target="media/image151.png"/><Relationship Id="rId151" Type="http://schemas.openxmlformats.org/officeDocument/2006/relationships/image" Target="media/image150.png"/><Relationship Id="rId150" Type="http://schemas.openxmlformats.org/officeDocument/2006/relationships/image" Target="media/image149.png"/><Relationship Id="rId15" Type="http://schemas.openxmlformats.org/officeDocument/2006/relationships/image" Target="media/image14.png"/><Relationship Id="rId149" Type="http://schemas.openxmlformats.org/officeDocument/2006/relationships/image" Target="media/image148.png"/><Relationship Id="rId148" Type="http://schemas.openxmlformats.org/officeDocument/2006/relationships/image" Target="media/image147.png"/><Relationship Id="rId147" Type="http://schemas.openxmlformats.org/officeDocument/2006/relationships/image" Target="media/image146.png"/><Relationship Id="rId146" Type="http://schemas.openxmlformats.org/officeDocument/2006/relationships/image" Target="media/image145.png"/><Relationship Id="rId145" Type="http://schemas.openxmlformats.org/officeDocument/2006/relationships/image" Target="media/image144.png"/><Relationship Id="rId144" Type="http://schemas.openxmlformats.org/officeDocument/2006/relationships/image" Target="media/image143.png"/><Relationship Id="rId143" Type="http://schemas.openxmlformats.org/officeDocument/2006/relationships/image" Target="media/image142.png"/><Relationship Id="rId142" Type="http://schemas.openxmlformats.org/officeDocument/2006/relationships/image" Target="media/image141.png"/><Relationship Id="rId141" Type="http://schemas.openxmlformats.org/officeDocument/2006/relationships/image" Target="media/image140.png"/><Relationship Id="rId140" Type="http://schemas.openxmlformats.org/officeDocument/2006/relationships/image" Target="media/image139.png"/><Relationship Id="rId14" Type="http://schemas.openxmlformats.org/officeDocument/2006/relationships/image" Target="media/image13.png"/><Relationship Id="rId139" Type="http://schemas.openxmlformats.org/officeDocument/2006/relationships/image" Target="media/image138.png"/><Relationship Id="rId138" Type="http://schemas.openxmlformats.org/officeDocument/2006/relationships/image" Target="media/image137.png"/><Relationship Id="rId137" Type="http://schemas.openxmlformats.org/officeDocument/2006/relationships/image" Target="media/image136.png"/><Relationship Id="rId136" Type="http://schemas.openxmlformats.org/officeDocument/2006/relationships/image" Target="media/image135.png"/><Relationship Id="rId135" Type="http://schemas.openxmlformats.org/officeDocument/2006/relationships/image" Target="media/image134.png"/><Relationship Id="rId134" Type="http://schemas.openxmlformats.org/officeDocument/2006/relationships/image" Target="media/image133.png"/><Relationship Id="rId133" Type="http://schemas.openxmlformats.org/officeDocument/2006/relationships/image" Target="media/image132.png"/><Relationship Id="rId132" Type="http://schemas.openxmlformats.org/officeDocument/2006/relationships/image" Target="media/image131.png"/><Relationship Id="rId131" Type="http://schemas.openxmlformats.org/officeDocument/2006/relationships/image" Target="media/image130.png"/><Relationship Id="rId130" Type="http://schemas.openxmlformats.org/officeDocument/2006/relationships/image" Target="media/image129.png"/><Relationship Id="rId13" Type="http://schemas.openxmlformats.org/officeDocument/2006/relationships/image" Target="media/image12.png"/><Relationship Id="rId129" Type="http://schemas.openxmlformats.org/officeDocument/2006/relationships/image" Target="media/image128.png"/><Relationship Id="rId128" Type="http://schemas.openxmlformats.org/officeDocument/2006/relationships/image" Target="media/image127.png"/><Relationship Id="rId127" Type="http://schemas.openxmlformats.org/officeDocument/2006/relationships/image" Target="media/image126.png"/><Relationship Id="rId126" Type="http://schemas.openxmlformats.org/officeDocument/2006/relationships/image" Target="media/image125.png"/><Relationship Id="rId125" Type="http://schemas.openxmlformats.org/officeDocument/2006/relationships/image" Target="media/image124.png"/><Relationship Id="rId124" Type="http://schemas.openxmlformats.org/officeDocument/2006/relationships/image" Target="media/image123.png"/><Relationship Id="rId123" Type="http://schemas.openxmlformats.org/officeDocument/2006/relationships/image" Target="media/image122.png"/><Relationship Id="rId122" Type="http://schemas.openxmlformats.org/officeDocument/2006/relationships/image" Target="media/image121.png"/><Relationship Id="rId121" Type="http://schemas.openxmlformats.org/officeDocument/2006/relationships/image" Target="media/image120.png"/><Relationship Id="rId120" Type="http://schemas.openxmlformats.org/officeDocument/2006/relationships/image" Target="media/image119.png"/><Relationship Id="rId12" Type="http://schemas.openxmlformats.org/officeDocument/2006/relationships/image" Target="media/image11.png"/><Relationship Id="rId119" Type="http://schemas.openxmlformats.org/officeDocument/2006/relationships/image" Target="media/image118.png"/><Relationship Id="rId118" Type="http://schemas.openxmlformats.org/officeDocument/2006/relationships/image" Target="media/image117.png"/><Relationship Id="rId117" Type="http://schemas.openxmlformats.org/officeDocument/2006/relationships/image" Target="media/image116.png"/><Relationship Id="rId116" Type="http://schemas.openxmlformats.org/officeDocument/2006/relationships/image" Target="media/image115.png"/><Relationship Id="rId115" Type="http://schemas.openxmlformats.org/officeDocument/2006/relationships/image" Target="media/image114.png"/><Relationship Id="rId114" Type="http://schemas.openxmlformats.org/officeDocument/2006/relationships/image" Target="media/image113.png"/><Relationship Id="rId113" Type="http://schemas.openxmlformats.org/officeDocument/2006/relationships/image" Target="media/image112.png"/><Relationship Id="rId112" Type="http://schemas.openxmlformats.org/officeDocument/2006/relationships/image" Target="media/image111.png"/><Relationship Id="rId111" Type="http://schemas.openxmlformats.org/officeDocument/2006/relationships/image" Target="media/image110.png"/><Relationship Id="rId110" Type="http://schemas.openxmlformats.org/officeDocument/2006/relationships/image" Target="media/image109.png"/><Relationship Id="rId11" Type="http://schemas.openxmlformats.org/officeDocument/2006/relationships/image" Target="media/image10.png"/><Relationship Id="rId109" Type="http://schemas.openxmlformats.org/officeDocument/2006/relationships/image" Target="media/image108.png"/><Relationship Id="rId108" Type="http://schemas.openxmlformats.org/officeDocument/2006/relationships/image" Target="media/image107.png"/><Relationship Id="rId107" Type="http://schemas.openxmlformats.org/officeDocument/2006/relationships/image" Target="media/image106.png"/><Relationship Id="rId106" Type="http://schemas.openxmlformats.org/officeDocument/2006/relationships/image" Target="media/image105.png"/><Relationship Id="rId105" Type="http://schemas.openxmlformats.org/officeDocument/2006/relationships/image" Target="media/image104.png"/><Relationship Id="rId104" Type="http://schemas.openxmlformats.org/officeDocument/2006/relationships/image" Target="media/image103.png"/><Relationship Id="rId103" Type="http://schemas.openxmlformats.org/officeDocument/2006/relationships/image" Target="media/image102.png"/><Relationship Id="rId102" Type="http://schemas.openxmlformats.org/officeDocument/2006/relationships/image" Target="media/image101.png"/><Relationship Id="rId101" Type="http://schemas.openxmlformats.org/officeDocument/2006/relationships/image" Target="media/image100.png"/><Relationship Id="rId100" Type="http://schemas.openxmlformats.org/officeDocument/2006/relationships/image" Target="media/image99.png"/><Relationship Id="rId10" Type="http://schemas.openxmlformats.org/officeDocument/2006/relationships/image" Target="media/image9.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9" Type="http://schemas.openxmlformats.org/officeDocument/2006/relationships/customXml" Target="../customXml/item3.xml"/><Relationship Id="rId8" Type="http://schemas.openxmlformats.org/officeDocument/2006/relationships/customXml" Target="../customXml/item2.xml"/><Relationship Id="rId7" Type="http://schemas.openxmlformats.org/officeDocument/2006/relationships/customXml" Target="../customXml/item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3" Type="http://schemas.openxmlformats.org/officeDocument/2006/relationships/styles" Target="styles.xml"/><Relationship Id="rId12" Type="http://www.wps.cn/officeDocument/2020/cellImage" Target="cellimages.xml"/><Relationship Id="rId11" Type="http://schemas.openxmlformats.org/officeDocument/2006/relationships/sharedStrings" Target="sharedStrings.xml"/><Relationship Id="rId10"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8.png"/><Relationship Id="rId98" Type="http://schemas.openxmlformats.org/officeDocument/2006/relationships/image" Target="../media/image97.png"/><Relationship Id="rId97" Type="http://schemas.openxmlformats.org/officeDocument/2006/relationships/image" Target="../media/image96.png"/><Relationship Id="rId96" Type="http://schemas.openxmlformats.org/officeDocument/2006/relationships/image" Target="../media/image95.png"/><Relationship Id="rId95" Type="http://schemas.openxmlformats.org/officeDocument/2006/relationships/image" Target="../media/image94.png"/><Relationship Id="rId94" Type="http://schemas.openxmlformats.org/officeDocument/2006/relationships/image" Target="../media/image93.png"/><Relationship Id="rId93" Type="http://schemas.openxmlformats.org/officeDocument/2006/relationships/image" Target="../media/image92.png"/><Relationship Id="rId92" Type="http://schemas.openxmlformats.org/officeDocument/2006/relationships/image" Target="../media/image91.png"/><Relationship Id="rId91" Type="http://schemas.openxmlformats.org/officeDocument/2006/relationships/image" Target="../media/image90.png"/><Relationship Id="rId90" Type="http://schemas.openxmlformats.org/officeDocument/2006/relationships/image" Target="../media/image89.png"/><Relationship Id="rId9" Type="http://schemas.openxmlformats.org/officeDocument/2006/relationships/image" Target="../media/image8.png"/><Relationship Id="rId89" Type="http://schemas.openxmlformats.org/officeDocument/2006/relationships/image" Target="../media/image88.png"/><Relationship Id="rId88" Type="http://schemas.openxmlformats.org/officeDocument/2006/relationships/image" Target="../media/image87.png"/><Relationship Id="rId87" Type="http://schemas.openxmlformats.org/officeDocument/2006/relationships/image" Target="../media/image86.png"/><Relationship Id="rId86" Type="http://schemas.openxmlformats.org/officeDocument/2006/relationships/image" Target="../media/image85.png"/><Relationship Id="rId85" Type="http://schemas.openxmlformats.org/officeDocument/2006/relationships/image" Target="../media/image84.png"/><Relationship Id="rId84" Type="http://schemas.openxmlformats.org/officeDocument/2006/relationships/image" Target="../media/image83.png"/><Relationship Id="rId83" Type="http://schemas.openxmlformats.org/officeDocument/2006/relationships/image" Target="../media/image82.png"/><Relationship Id="rId82" Type="http://schemas.openxmlformats.org/officeDocument/2006/relationships/image" Target="../media/image81.png"/><Relationship Id="rId81" Type="http://schemas.openxmlformats.org/officeDocument/2006/relationships/image" Target="../media/image80.png"/><Relationship Id="rId80" Type="http://schemas.openxmlformats.org/officeDocument/2006/relationships/image" Target="../media/image79.png"/><Relationship Id="rId8" Type="http://schemas.openxmlformats.org/officeDocument/2006/relationships/image" Target="../media/image7.png"/><Relationship Id="rId79" Type="http://schemas.openxmlformats.org/officeDocument/2006/relationships/image" Target="../media/image78.png"/><Relationship Id="rId78" Type="http://schemas.openxmlformats.org/officeDocument/2006/relationships/image" Target="../media/image77.png"/><Relationship Id="rId77" Type="http://schemas.openxmlformats.org/officeDocument/2006/relationships/image" Target="../media/image76.png"/><Relationship Id="rId76" Type="http://schemas.openxmlformats.org/officeDocument/2006/relationships/image" Target="../media/image75.png"/><Relationship Id="rId75" Type="http://schemas.openxmlformats.org/officeDocument/2006/relationships/image" Target="../media/image74.png"/><Relationship Id="rId74" Type="http://schemas.openxmlformats.org/officeDocument/2006/relationships/image" Target="../media/image73.png"/><Relationship Id="rId73" Type="http://schemas.openxmlformats.org/officeDocument/2006/relationships/image" Target="../media/image72.png"/><Relationship Id="rId72" Type="http://schemas.openxmlformats.org/officeDocument/2006/relationships/image" Target="../media/image71.png"/><Relationship Id="rId71" Type="http://schemas.openxmlformats.org/officeDocument/2006/relationships/image" Target="../media/image70.png"/><Relationship Id="rId70" Type="http://schemas.openxmlformats.org/officeDocument/2006/relationships/image" Target="../media/image69.png"/><Relationship Id="rId7" Type="http://schemas.openxmlformats.org/officeDocument/2006/relationships/image" Target="../media/image6.png"/><Relationship Id="rId698" Type="http://schemas.openxmlformats.org/officeDocument/2006/relationships/image" Target="../media/image697.png"/><Relationship Id="rId697" Type="http://schemas.openxmlformats.org/officeDocument/2006/relationships/image" Target="../media/image696.png"/><Relationship Id="rId696" Type="http://schemas.openxmlformats.org/officeDocument/2006/relationships/image" Target="../media/image695.png"/><Relationship Id="rId695" Type="http://schemas.openxmlformats.org/officeDocument/2006/relationships/image" Target="../media/image694.png"/><Relationship Id="rId694" Type="http://schemas.openxmlformats.org/officeDocument/2006/relationships/image" Target="../media/image693.png"/><Relationship Id="rId693" Type="http://schemas.openxmlformats.org/officeDocument/2006/relationships/image" Target="../media/image692.png"/><Relationship Id="rId692" Type="http://schemas.openxmlformats.org/officeDocument/2006/relationships/image" Target="../media/image691.png"/><Relationship Id="rId691" Type="http://schemas.openxmlformats.org/officeDocument/2006/relationships/image" Target="../media/image690.png"/><Relationship Id="rId690" Type="http://schemas.openxmlformats.org/officeDocument/2006/relationships/image" Target="../media/image689.png"/><Relationship Id="rId69" Type="http://schemas.openxmlformats.org/officeDocument/2006/relationships/image" Target="../media/image68.png"/><Relationship Id="rId689" Type="http://schemas.openxmlformats.org/officeDocument/2006/relationships/image" Target="../media/image688.png"/><Relationship Id="rId688" Type="http://schemas.openxmlformats.org/officeDocument/2006/relationships/image" Target="../media/image687.png"/><Relationship Id="rId687" Type="http://schemas.openxmlformats.org/officeDocument/2006/relationships/image" Target="../media/image686.png"/><Relationship Id="rId686" Type="http://schemas.openxmlformats.org/officeDocument/2006/relationships/image" Target="../media/image685.png"/><Relationship Id="rId685" Type="http://schemas.openxmlformats.org/officeDocument/2006/relationships/image" Target="../media/image684.png"/><Relationship Id="rId684" Type="http://schemas.openxmlformats.org/officeDocument/2006/relationships/image" Target="../media/image683.png"/><Relationship Id="rId683" Type="http://schemas.openxmlformats.org/officeDocument/2006/relationships/image" Target="../media/image682.png"/><Relationship Id="rId682" Type="http://schemas.openxmlformats.org/officeDocument/2006/relationships/image" Target="../media/image681.png"/><Relationship Id="rId681" Type="http://schemas.openxmlformats.org/officeDocument/2006/relationships/image" Target="../media/image680.png"/><Relationship Id="rId680" Type="http://schemas.openxmlformats.org/officeDocument/2006/relationships/image" Target="../media/image679.png"/><Relationship Id="rId68" Type="http://schemas.openxmlformats.org/officeDocument/2006/relationships/image" Target="../media/image67.png"/><Relationship Id="rId679" Type="http://schemas.openxmlformats.org/officeDocument/2006/relationships/image" Target="../media/image678.png"/><Relationship Id="rId678" Type="http://schemas.openxmlformats.org/officeDocument/2006/relationships/image" Target="../media/image677.png"/><Relationship Id="rId677" Type="http://schemas.openxmlformats.org/officeDocument/2006/relationships/image" Target="../media/image676.png"/><Relationship Id="rId676" Type="http://schemas.openxmlformats.org/officeDocument/2006/relationships/image" Target="../media/image675.png"/><Relationship Id="rId675" Type="http://schemas.openxmlformats.org/officeDocument/2006/relationships/image" Target="../media/image674.png"/><Relationship Id="rId674" Type="http://schemas.openxmlformats.org/officeDocument/2006/relationships/image" Target="../media/image673.png"/><Relationship Id="rId673" Type="http://schemas.openxmlformats.org/officeDocument/2006/relationships/image" Target="../media/image672.png"/><Relationship Id="rId672" Type="http://schemas.openxmlformats.org/officeDocument/2006/relationships/image" Target="../media/image671.png"/><Relationship Id="rId671" Type="http://schemas.openxmlformats.org/officeDocument/2006/relationships/image" Target="../media/image670.png"/><Relationship Id="rId670" Type="http://schemas.openxmlformats.org/officeDocument/2006/relationships/image" Target="../media/image669.png"/><Relationship Id="rId67" Type="http://schemas.openxmlformats.org/officeDocument/2006/relationships/image" Target="../media/image66.png"/><Relationship Id="rId669" Type="http://schemas.openxmlformats.org/officeDocument/2006/relationships/image" Target="../media/image668.png"/><Relationship Id="rId668" Type="http://schemas.openxmlformats.org/officeDocument/2006/relationships/image" Target="../media/image667.png"/><Relationship Id="rId667" Type="http://schemas.openxmlformats.org/officeDocument/2006/relationships/image" Target="../media/image666.png"/><Relationship Id="rId666" Type="http://schemas.openxmlformats.org/officeDocument/2006/relationships/image" Target="../media/image665.png"/><Relationship Id="rId665" Type="http://schemas.openxmlformats.org/officeDocument/2006/relationships/image" Target="../media/image664.png"/><Relationship Id="rId664" Type="http://schemas.openxmlformats.org/officeDocument/2006/relationships/image" Target="../media/image663.png"/><Relationship Id="rId663" Type="http://schemas.openxmlformats.org/officeDocument/2006/relationships/image" Target="../media/image662.png"/><Relationship Id="rId662" Type="http://schemas.openxmlformats.org/officeDocument/2006/relationships/image" Target="../media/image661.png"/><Relationship Id="rId661" Type="http://schemas.openxmlformats.org/officeDocument/2006/relationships/image" Target="../media/image660.png"/><Relationship Id="rId660" Type="http://schemas.openxmlformats.org/officeDocument/2006/relationships/image" Target="../media/image659.png"/><Relationship Id="rId66" Type="http://schemas.openxmlformats.org/officeDocument/2006/relationships/image" Target="../media/image65.png"/><Relationship Id="rId659" Type="http://schemas.openxmlformats.org/officeDocument/2006/relationships/image" Target="../media/image658.png"/><Relationship Id="rId658" Type="http://schemas.openxmlformats.org/officeDocument/2006/relationships/image" Target="../media/image657.png"/><Relationship Id="rId657" Type="http://schemas.openxmlformats.org/officeDocument/2006/relationships/image" Target="../media/image656.png"/><Relationship Id="rId656" Type="http://schemas.openxmlformats.org/officeDocument/2006/relationships/image" Target="../media/image655.png"/><Relationship Id="rId655" Type="http://schemas.openxmlformats.org/officeDocument/2006/relationships/image" Target="../media/image654.png"/><Relationship Id="rId654" Type="http://schemas.openxmlformats.org/officeDocument/2006/relationships/image" Target="../media/image653.png"/><Relationship Id="rId653" Type="http://schemas.openxmlformats.org/officeDocument/2006/relationships/image" Target="../media/image652.png"/><Relationship Id="rId652" Type="http://schemas.openxmlformats.org/officeDocument/2006/relationships/image" Target="../media/image651.png"/><Relationship Id="rId651" Type="http://schemas.openxmlformats.org/officeDocument/2006/relationships/image" Target="../media/image650.png"/><Relationship Id="rId650" Type="http://schemas.openxmlformats.org/officeDocument/2006/relationships/image" Target="../media/image649.png"/><Relationship Id="rId65" Type="http://schemas.openxmlformats.org/officeDocument/2006/relationships/image" Target="../media/image64.png"/><Relationship Id="rId649" Type="http://schemas.openxmlformats.org/officeDocument/2006/relationships/image" Target="../media/image648.png"/><Relationship Id="rId648" Type="http://schemas.openxmlformats.org/officeDocument/2006/relationships/image" Target="../media/image647.png"/><Relationship Id="rId647" Type="http://schemas.openxmlformats.org/officeDocument/2006/relationships/image" Target="../media/image646.png"/><Relationship Id="rId646" Type="http://schemas.openxmlformats.org/officeDocument/2006/relationships/image" Target="../media/image645.png"/><Relationship Id="rId645" Type="http://schemas.openxmlformats.org/officeDocument/2006/relationships/image" Target="../media/image644.png"/><Relationship Id="rId644" Type="http://schemas.openxmlformats.org/officeDocument/2006/relationships/image" Target="../media/image643.png"/><Relationship Id="rId643" Type="http://schemas.openxmlformats.org/officeDocument/2006/relationships/image" Target="../media/image642.png"/><Relationship Id="rId642" Type="http://schemas.openxmlformats.org/officeDocument/2006/relationships/image" Target="../media/image641.png"/><Relationship Id="rId641" Type="http://schemas.openxmlformats.org/officeDocument/2006/relationships/image" Target="../media/image640.png"/><Relationship Id="rId640" Type="http://schemas.openxmlformats.org/officeDocument/2006/relationships/image" Target="../media/image639.png"/><Relationship Id="rId64" Type="http://schemas.openxmlformats.org/officeDocument/2006/relationships/image" Target="../media/image63.png"/><Relationship Id="rId639" Type="http://schemas.openxmlformats.org/officeDocument/2006/relationships/image" Target="../media/image638.png"/><Relationship Id="rId638" Type="http://schemas.openxmlformats.org/officeDocument/2006/relationships/image" Target="../media/image637.png"/><Relationship Id="rId637" Type="http://schemas.openxmlformats.org/officeDocument/2006/relationships/image" Target="../media/image636.png"/><Relationship Id="rId636" Type="http://schemas.openxmlformats.org/officeDocument/2006/relationships/image" Target="../media/image635.png"/><Relationship Id="rId635" Type="http://schemas.openxmlformats.org/officeDocument/2006/relationships/image" Target="../media/image634.png"/><Relationship Id="rId634" Type="http://schemas.openxmlformats.org/officeDocument/2006/relationships/image" Target="../media/image633.png"/><Relationship Id="rId633" Type="http://schemas.openxmlformats.org/officeDocument/2006/relationships/image" Target="../media/image632.png"/><Relationship Id="rId632" Type="http://schemas.openxmlformats.org/officeDocument/2006/relationships/image" Target="../media/image631.png"/><Relationship Id="rId631" Type="http://schemas.openxmlformats.org/officeDocument/2006/relationships/image" Target="../media/image630.png"/><Relationship Id="rId630" Type="http://schemas.openxmlformats.org/officeDocument/2006/relationships/image" Target="../media/image629.png"/><Relationship Id="rId63" Type="http://schemas.openxmlformats.org/officeDocument/2006/relationships/image" Target="../media/image62.png"/><Relationship Id="rId629" Type="http://schemas.openxmlformats.org/officeDocument/2006/relationships/image" Target="../media/image628.png"/><Relationship Id="rId628" Type="http://schemas.openxmlformats.org/officeDocument/2006/relationships/image" Target="../media/image627.png"/><Relationship Id="rId627" Type="http://schemas.openxmlformats.org/officeDocument/2006/relationships/image" Target="../media/image626.png"/><Relationship Id="rId626" Type="http://schemas.openxmlformats.org/officeDocument/2006/relationships/image" Target="../media/image625.png"/><Relationship Id="rId625" Type="http://schemas.openxmlformats.org/officeDocument/2006/relationships/image" Target="../media/image624.png"/><Relationship Id="rId624" Type="http://schemas.openxmlformats.org/officeDocument/2006/relationships/image" Target="../media/image623.png"/><Relationship Id="rId623" Type="http://schemas.openxmlformats.org/officeDocument/2006/relationships/image" Target="../media/image622.png"/><Relationship Id="rId622" Type="http://schemas.openxmlformats.org/officeDocument/2006/relationships/image" Target="../media/image621.png"/><Relationship Id="rId621" Type="http://schemas.openxmlformats.org/officeDocument/2006/relationships/image" Target="../media/image620.png"/><Relationship Id="rId620" Type="http://schemas.openxmlformats.org/officeDocument/2006/relationships/image" Target="../media/image619.png"/><Relationship Id="rId62" Type="http://schemas.openxmlformats.org/officeDocument/2006/relationships/image" Target="../media/image61.png"/><Relationship Id="rId619" Type="http://schemas.openxmlformats.org/officeDocument/2006/relationships/image" Target="../media/image618.png"/><Relationship Id="rId618" Type="http://schemas.openxmlformats.org/officeDocument/2006/relationships/image" Target="../media/image617.png"/><Relationship Id="rId617" Type="http://schemas.openxmlformats.org/officeDocument/2006/relationships/image" Target="../media/image616.png"/><Relationship Id="rId616" Type="http://schemas.openxmlformats.org/officeDocument/2006/relationships/image" Target="../media/image615.png"/><Relationship Id="rId615" Type="http://schemas.openxmlformats.org/officeDocument/2006/relationships/image" Target="../media/image614.png"/><Relationship Id="rId614" Type="http://schemas.openxmlformats.org/officeDocument/2006/relationships/image" Target="../media/image613.png"/><Relationship Id="rId613" Type="http://schemas.openxmlformats.org/officeDocument/2006/relationships/image" Target="../media/image612.png"/><Relationship Id="rId612" Type="http://schemas.openxmlformats.org/officeDocument/2006/relationships/image" Target="../media/image611.png"/><Relationship Id="rId611" Type="http://schemas.openxmlformats.org/officeDocument/2006/relationships/image" Target="../media/image610.png"/><Relationship Id="rId610" Type="http://schemas.openxmlformats.org/officeDocument/2006/relationships/image" Target="../media/image609.png"/><Relationship Id="rId61" Type="http://schemas.openxmlformats.org/officeDocument/2006/relationships/image" Target="../media/image60.png"/><Relationship Id="rId609" Type="http://schemas.openxmlformats.org/officeDocument/2006/relationships/image" Target="../media/image608.png"/><Relationship Id="rId608" Type="http://schemas.openxmlformats.org/officeDocument/2006/relationships/image" Target="../media/image607.png"/><Relationship Id="rId607" Type="http://schemas.openxmlformats.org/officeDocument/2006/relationships/image" Target="../media/image606.png"/><Relationship Id="rId606" Type="http://schemas.openxmlformats.org/officeDocument/2006/relationships/image" Target="../media/image605.png"/><Relationship Id="rId605" Type="http://schemas.openxmlformats.org/officeDocument/2006/relationships/image" Target="../media/image604.png"/><Relationship Id="rId604" Type="http://schemas.openxmlformats.org/officeDocument/2006/relationships/image" Target="../media/image603.png"/><Relationship Id="rId603" Type="http://schemas.openxmlformats.org/officeDocument/2006/relationships/image" Target="../media/image602.png"/><Relationship Id="rId602" Type="http://schemas.openxmlformats.org/officeDocument/2006/relationships/image" Target="../media/image601.png"/><Relationship Id="rId601" Type="http://schemas.openxmlformats.org/officeDocument/2006/relationships/image" Target="../media/image600.png"/><Relationship Id="rId600" Type="http://schemas.openxmlformats.org/officeDocument/2006/relationships/image" Target="../media/image599.png"/><Relationship Id="rId60" Type="http://schemas.openxmlformats.org/officeDocument/2006/relationships/image" Target="../media/image59.png"/><Relationship Id="rId6" Type="http://schemas.openxmlformats.org/officeDocument/2006/relationships/image" Target="../media/image5.png"/><Relationship Id="rId599" Type="http://schemas.openxmlformats.org/officeDocument/2006/relationships/image" Target="../media/image598.png"/><Relationship Id="rId598" Type="http://schemas.openxmlformats.org/officeDocument/2006/relationships/image" Target="../media/image597.png"/><Relationship Id="rId597" Type="http://schemas.openxmlformats.org/officeDocument/2006/relationships/image" Target="../media/image596.png"/><Relationship Id="rId596" Type="http://schemas.openxmlformats.org/officeDocument/2006/relationships/image" Target="../media/image595.png"/><Relationship Id="rId595" Type="http://schemas.openxmlformats.org/officeDocument/2006/relationships/image" Target="../media/image594.png"/><Relationship Id="rId594" Type="http://schemas.openxmlformats.org/officeDocument/2006/relationships/image" Target="../media/image593.png"/><Relationship Id="rId593" Type="http://schemas.openxmlformats.org/officeDocument/2006/relationships/image" Target="../media/image592.png"/><Relationship Id="rId592" Type="http://schemas.openxmlformats.org/officeDocument/2006/relationships/image" Target="../media/image591.png"/><Relationship Id="rId591" Type="http://schemas.openxmlformats.org/officeDocument/2006/relationships/image" Target="../media/image590.png"/><Relationship Id="rId590" Type="http://schemas.openxmlformats.org/officeDocument/2006/relationships/image" Target="../media/image589.png"/><Relationship Id="rId59" Type="http://schemas.openxmlformats.org/officeDocument/2006/relationships/image" Target="../media/image58.png"/><Relationship Id="rId589" Type="http://schemas.openxmlformats.org/officeDocument/2006/relationships/image" Target="../media/image588.png"/><Relationship Id="rId588" Type="http://schemas.openxmlformats.org/officeDocument/2006/relationships/image" Target="../media/image587.png"/><Relationship Id="rId587" Type="http://schemas.openxmlformats.org/officeDocument/2006/relationships/image" Target="../media/image586.png"/><Relationship Id="rId586" Type="http://schemas.openxmlformats.org/officeDocument/2006/relationships/image" Target="../media/image585.png"/><Relationship Id="rId585" Type="http://schemas.openxmlformats.org/officeDocument/2006/relationships/image" Target="../media/image584.png"/><Relationship Id="rId584" Type="http://schemas.openxmlformats.org/officeDocument/2006/relationships/image" Target="../media/image583.png"/><Relationship Id="rId583" Type="http://schemas.openxmlformats.org/officeDocument/2006/relationships/image" Target="../media/image582.png"/><Relationship Id="rId582" Type="http://schemas.openxmlformats.org/officeDocument/2006/relationships/image" Target="../media/image581.png"/><Relationship Id="rId581" Type="http://schemas.openxmlformats.org/officeDocument/2006/relationships/image" Target="../media/image580.png"/><Relationship Id="rId580" Type="http://schemas.openxmlformats.org/officeDocument/2006/relationships/image" Target="../media/image579.png"/><Relationship Id="rId58" Type="http://schemas.openxmlformats.org/officeDocument/2006/relationships/image" Target="../media/image57.png"/><Relationship Id="rId579" Type="http://schemas.openxmlformats.org/officeDocument/2006/relationships/image" Target="../media/image578.png"/><Relationship Id="rId578" Type="http://schemas.openxmlformats.org/officeDocument/2006/relationships/image" Target="../media/image577.png"/><Relationship Id="rId577" Type="http://schemas.openxmlformats.org/officeDocument/2006/relationships/image" Target="../media/image576.png"/><Relationship Id="rId576" Type="http://schemas.openxmlformats.org/officeDocument/2006/relationships/image" Target="../media/image575.png"/><Relationship Id="rId575" Type="http://schemas.openxmlformats.org/officeDocument/2006/relationships/image" Target="../media/image574.png"/><Relationship Id="rId574" Type="http://schemas.openxmlformats.org/officeDocument/2006/relationships/image" Target="../media/image573.png"/><Relationship Id="rId573" Type="http://schemas.openxmlformats.org/officeDocument/2006/relationships/image" Target="../media/image572.png"/><Relationship Id="rId572" Type="http://schemas.openxmlformats.org/officeDocument/2006/relationships/image" Target="../media/image571.png"/><Relationship Id="rId571" Type="http://schemas.openxmlformats.org/officeDocument/2006/relationships/image" Target="../media/image570.png"/><Relationship Id="rId570" Type="http://schemas.openxmlformats.org/officeDocument/2006/relationships/image" Target="../media/image569.png"/><Relationship Id="rId57" Type="http://schemas.openxmlformats.org/officeDocument/2006/relationships/image" Target="../media/image56.png"/><Relationship Id="rId569" Type="http://schemas.openxmlformats.org/officeDocument/2006/relationships/image" Target="../media/image568.png"/><Relationship Id="rId568" Type="http://schemas.openxmlformats.org/officeDocument/2006/relationships/image" Target="../media/image567.png"/><Relationship Id="rId567" Type="http://schemas.openxmlformats.org/officeDocument/2006/relationships/image" Target="../media/image566.png"/><Relationship Id="rId566" Type="http://schemas.openxmlformats.org/officeDocument/2006/relationships/image" Target="../media/image565.png"/><Relationship Id="rId565" Type="http://schemas.openxmlformats.org/officeDocument/2006/relationships/image" Target="../media/image564.png"/><Relationship Id="rId564" Type="http://schemas.openxmlformats.org/officeDocument/2006/relationships/image" Target="../media/image563.png"/><Relationship Id="rId563" Type="http://schemas.openxmlformats.org/officeDocument/2006/relationships/image" Target="../media/image562.png"/><Relationship Id="rId562" Type="http://schemas.openxmlformats.org/officeDocument/2006/relationships/image" Target="../media/image561.png"/><Relationship Id="rId561" Type="http://schemas.openxmlformats.org/officeDocument/2006/relationships/image" Target="../media/image560.png"/><Relationship Id="rId560" Type="http://schemas.openxmlformats.org/officeDocument/2006/relationships/image" Target="../media/image559.png"/><Relationship Id="rId56" Type="http://schemas.openxmlformats.org/officeDocument/2006/relationships/image" Target="../media/image55.png"/><Relationship Id="rId559" Type="http://schemas.openxmlformats.org/officeDocument/2006/relationships/image" Target="../media/image558.png"/><Relationship Id="rId558" Type="http://schemas.openxmlformats.org/officeDocument/2006/relationships/image" Target="../media/image557.png"/><Relationship Id="rId557" Type="http://schemas.openxmlformats.org/officeDocument/2006/relationships/image" Target="../media/image556.png"/><Relationship Id="rId556" Type="http://schemas.openxmlformats.org/officeDocument/2006/relationships/image" Target="../media/image555.png"/><Relationship Id="rId555" Type="http://schemas.openxmlformats.org/officeDocument/2006/relationships/image" Target="../media/image554.png"/><Relationship Id="rId554" Type="http://schemas.openxmlformats.org/officeDocument/2006/relationships/image" Target="../media/image553.png"/><Relationship Id="rId553" Type="http://schemas.openxmlformats.org/officeDocument/2006/relationships/image" Target="../media/image552.png"/><Relationship Id="rId552" Type="http://schemas.openxmlformats.org/officeDocument/2006/relationships/image" Target="../media/image551.png"/><Relationship Id="rId551" Type="http://schemas.openxmlformats.org/officeDocument/2006/relationships/image" Target="../media/image550.png"/><Relationship Id="rId550" Type="http://schemas.openxmlformats.org/officeDocument/2006/relationships/image" Target="../media/image549.png"/><Relationship Id="rId55" Type="http://schemas.openxmlformats.org/officeDocument/2006/relationships/image" Target="../media/image54.png"/><Relationship Id="rId549" Type="http://schemas.openxmlformats.org/officeDocument/2006/relationships/image" Target="../media/image548.png"/><Relationship Id="rId548" Type="http://schemas.openxmlformats.org/officeDocument/2006/relationships/image" Target="../media/image547.png"/><Relationship Id="rId547" Type="http://schemas.openxmlformats.org/officeDocument/2006/relationships/image" Target="../media/image546.png"/><Relationship Id="rId546" Type="http://schemas.openxmlformats.org/officeDocument/2006/relationships/image" Target="../media/image545.png"/><Relationship Id="rId545" Type="http://schemas.openxmlformats.org/officeDocument/2006/relationships/image" Target="../media/image544.png"/><Relationship Id="rId544" Type="http://schemas.openxmlformats.org/officeDocument/2006/relationships/image" Target="../media/image543.png"/><Relationship Id="rId543" Type="http://schemas.openxmlformats.org/officeDocument/2006/relationships/image" Target="../media/image542.png"/><Relationship Id="rId542" Type="http://schemas.openxmlformats.org/officeDocument/2006/relationships/image" Target="../media/image541.png"/><Relationship Id="rId541" Type="http://schemas.openxmlformats.org/officeDocument/2006/relationships/image" Target="../media/image540.png"/><Relationship Id="rId540" Type="http://schemas.openxmlformats.org/officeDocument/2006/relationships/image" Target="../media/image539.png"/><Relationship Id="rId54" Type="http://schemas.openxmlformats.org/officeDocument/2006/relationships/image" Target="../media/image53.png"/><Relationship Id="rId539" Type="http://schemas.openxmlformats.org/officeDocument/2006/relationships/image" Target="../media/image538.png"/><Relationship Id="rId538" Type="http://schemas.openxmlformats.org/officeDocument/2006/relationships/image" Target="../media/image537.png"/><Relationship Id="rId537" Type="http://schemas.openxmlformats.org/officeDocument/2006/relationships/image" Target="../media/image536.png"/><Relationship Id="rId536" Type="http://schemas.openxmlformats.org/officeDocument/2006/relationships/image" Target="../media/image535.png"/><Relationship Id="rId535" Type="http://schemas.openxmlformats.org/officeDocument/2006/relationships/image" Target="../media/image534.png"/><Relationship Id="rId534" Type="http://schemas.openxmlformats.org/officeDocument/2006/relationships/image" Target="../media/image533.png"/><Relationship Id="rId533" Type="http://schemas.openxmlformats.org/officeDocument/2006/relationships/image" Target="../media/image532.png"/><Relationship Id="rId532" Type="http://schemas.openxmlformats.org/officeDocument/2006/relationships/image" Target="../media/image531.png"/><Relationship Id="rId531" Type="http://schemas.openxmlformats.org/officeDocument/2006/relationships/image" Target="../media/image530.png"/><Relationship Id="rId530" Type="http://schemas.openxmlformats.org/officeDocument/2006/relationships/image" Target="../media/image529.png"/><Relationship Id="rId53" Type="http://schemas.openxmlformats.org/officeDocument/2006/relationships/image" Target="../media/image52.png"/><Relationship Id="rId529" Type="http://schemas.openxmlformats.org/officeDocument/2006/relationships/image" Target="../media/image528.png"/><Relationship Id="rId528" Type="http://schemas.openxmlformats.org/officeDocument/2006/relationships/image" Target="../media/image527.png"/><Relationship Id="rId527" Type="http://schemas.openxmlformats.org/officeDocument/2006/relationships/image" Target="../media/image526.png"/><Relationship Id="rId526" Type="http://schemas.openxmlformats.org/officeDocument/2006/relationships/image" Target="../media/image525.png"/><Relationship Id="rId525" Type="http://schemas.openxmlformats.org/officeDocument/2006/relationships/image" Target="../media/image524.png"/><Relationship Id="rId524" Type="http://schemas.openxmlformats.org/officeDocument/2006/relationships/image" Target="../media/image523.png"/><Relationship Id="rId523" Type="http://schemas.openxmlformats.org/officeDocument/2006/relationships/image" Target="../media/image522.png"/><Relationship Id="rId522" Type="http://schemas.openxmlformats.org/officeDocument/2006/relationships/image" Target="../media/image521.png"/><Relationship Id="rId521" Type="http://schemas.openxmlformats.org/officeDocument/2006/relationships/image" Target="../media/image520.png"/><Relationship Id="rId520" Type="http://schemas.openxmlformats.org/officeDocument/2006/relationships/image" Target="../media/image519.png"/><Relationship Id="rId52" Type="http://schemas.openxmlformats.org/officeDocument/2006/relationships/image" Target="../media/image51.png"/><Relationship Id="rId519" Type="http://schemas.openxmlformats.org/officeDocument/2006/relationships/image" Target="../media/image518.png"/><Relationship Id="rId518" Type="http://schemas.openxmlformats.org/officeDocument/2006/relationships/image" Target="../media/image517.png"/><Relationship Id="rId517" Type="http://schemas.openxmlformats.org/officeDocument/2006/relationships/image" Target="../media/image516.png"/><Relationship Id="rId516" Type="http://schemas.openxmlformats.org/officeDocument/2006/relationships/image" Target="../media/image515.png"/><Relationship Id="rId515" Type="http://schemas.openxmlformats.org/officeDocument/2006/relationships/image" Target="../media/image514.png"/><Relationship Id="rId514" Type="http://schemas.openxmlformats.org/officeDocument/2006/relationships/image" Target="../media/image513.png"/><Relationship Id="rId513" Type="http://schemas.openxmlformats.org/officeDocument/2006/relationships/image" Target="../media/image512.png"/><Relationship Id="rId512" Type="http://schemas.openxmlformats.org/officeDocument/2006/relationships/image" Target="../media/image511.png"/><Relationship Id="rId511" Type="http://schemas.openxmlformats.org/officeDocument/2006/relationships/image" Target="../media/image510.png"/><Relationship Id="rId510" Type="http://schemas.openxmlformats.org/officeDocument/2006/relationships/image" Target="../media/image509.png"/><Relationship Id="rId51" Type="http://schemas.openxmlformats.org/officeDocument/2006/relationships/image" Target="../media/image50.png"/><Relationship Id="rId509" Type="http://schemas.openxmlformats.org/officeDocument/2006/relationships/image" Target="../media/image508.png"/><Relationship Id="rId508" Type="http://schemas.openxmlformats.org/officeDocument/2006/relationships/image" Target="../media/image507.png"/><Relationship Id="rId507" Type="http://schemas.openxmlformats.org/officeDocument/2006/relationships/image" Target="../media/image506.png"/><Relationship Id="rId506" Type="http://schemas.openxmlformats.org/officeDocument/2006/relationships/image" Target="../media/image505.png"/><Relationship Id="rId505" Type="http://schemas.openxmlformats.org/officeDocument/2006/relationships/image" Target="../media/image504.png"/><Relationship Id="rId504" Type="http://schemas.openxmlformats.org/officeDocument/2006/relationships/image" Target="../media/image503.png"/><Relationship Id="rId503" Type="http://schemas.openxmlformats.org/officeDocument/2006/relationships/image" Target="../media/image502.png"/><Relationship Id="rId502" Type="http://schemas.openxmlformats.org/officeDocument/2006/relationships/image" Target="../media/image501.png"/><Relationship Id="rId501" Type="http://schemas.openxmlformats.org/officeDocument/2006/relationships/image" Target="../media/image500.png"/><Relationship Id="rId500" Type="http://schemas.openxmlformats.org/officeDocument/2006/relationships/image" Target="../media/image499.png"/><Relationship Id="rId50" Type="http://schemas.openxmlformats.org/officeDocument/2006/relationships/image" Target="../media/image49.png"/><Relationship Id="rId5" Type="http://schemas.openxmlformats.org/officeDocument/2006/relationships/image" Target="../media/image4.png"/><Relationship Id="rId499" Type="http://schemas.openxmlformats.org/officeDocument/2006/relationships/image" Target="../media/image498.png"/><Relationship Id="rId498" Type="http://schemas.openxmlformats.org/officeDocument/2006/relationships/image" Target="../media/image497.png"/><Relationship Id="rId497" Type="http://schemas.openxmlformats.org/officeDocument/2006/relationships/image" Target="../media/image496.png"/><Relationship Id="rId496" Type="http://schemas.openxmlformats.org/officeDocument/2006/relationships/image" Target="../media/image495.png"/><Relationship Id="rId495" Type="http://schemas.openxmlformats.org/officeDocument/2006/relationships/image" Target="../media/image494.png"/><Relationship Id="rId494" Type="http://schemas.openxmlformats.org/officeDocument/2006/relationships/image" Target="../media/image493.png"/><Relationship Id="rId493" Type="http://schemas.openxmlformats.org/officeDocument/2006/relationships/image" Target="../media/image492.png"/><Relationship Id="rId492" Type="http://schemas.openxmlformats.org/officeDocument/2006/relationships/image" Target="../media/image491.png"/><Relationship Id="rId491" Type="http://schemas.openxmlformats.org/officeDocument/2006/relationships/image" Target="../media/image490.png"/><Relationship Id="rId490" Type="http://schemas.openxmlformats.org/officeDocument/2006/relationships/image" Target="../media/image489.png"/><Relationship Id="rId49" Type="http://schemas.openxmlformats.org/officeDocument/2006/relationships/image" Target="../media/image48.png"/><Relationship Id="rId489" Type="http://schemas.openxmlformats.org/officeDocument/2006/relationships/image" Target="../media/image488.png"/><Relationship Id="rId488" Type="http://schemas.openxmlformats.org/officeDocument/2006/relationships/image" Target="../media/image487.png"/><Relationship Id="rId487" Type="http://schemas.openxmlformats.org/officeDocument/2006/relationships/image" Target="../media/image486.png"/><Relationship Id="rId486" Type="http://schemas.openxmlformats.org/officeDocument/2006/relationships/image" Target="../media/image485.png"/><Relationship Id="rId485" Type="http://schemas.openxmlformats.org/officeDocument/2006/relationships/image" Target="../media/image484.png"/><Relationship Id="rId484" Type="http://schemas.openxmlformats.org/officeDocument/2006/relationships/image" Target="../media/image483.png"/><Relationship Id="rId483" Type="http://schemas.openxmlformats.org/officeDocument/2006/relationships/image" Target="../media/image482.png"/><Relationship Id="rId482" Type="http://schemas.openxmlformats.org/officeDocument/2006/relationships/image" Target="../media/image481.png"/><Relationship Id="rId481" Type="http://schemas.openxmlformats.org/officeDocument/2006/relationships/image" Target="../media/image480.png"/><Relationship Id="rId480" Type="http://schemas.openxmlformats.org/officeDocument/2006/relationships/image" Target="../media/image479.png"/><Relationship Id="rId48" Type="http://schemas.openxmlformats.org/officeDocument/2006/relationships/image" Target="../media/image47.png"/><Relationship Id="rId479" Type="http://schemas.openxmlformats.org/officeDocument/2006/relationships/image" Target="../media/image478.png"/><Relationship Id="rId478" Type="http://schemas.openxmlformats.org/officeDocument/2006/relationships/image" Target="../media/image477.png"/><Relationship Id="rId477" Type="http://schemas.openxmlformats.org/officeDocument/2006/relationships/image" Target="../media/image476.png"/><Relationship Id="rId476" Type="http://schemas.openxmlformats.org/officeDocument/2006/relationships/image" Target="../media/image475.png"/><Relationship Id="rId475" Type="http://schemas.openxmlformats.org/officeDocument/2006/relationships/image" Target="../media/image474.png"/><Relationship Id="rId474" Type="http://schemas.openxmlformats.org/officeDocument/2006/relationships/image" Target="../media/image473.png"/><Relationship Id="rId473" Type="http://schemas.openxmlformats.org/officeDocument/2006/relationships/image" Target="../media/image472.png"/><Relationship Id="rId472" Type="http://schemas.openxmlformats.org/officeDocument/2006/relationships/image" Target="../media/image471.png"/><Relationship Id="rId471" Type="http://schemas.openxmlformats.org/officeDocument/2006/relationships/image" Target="../media/image470.png"/><Relationship Id="rId470" Type="http://schemas.openxmlformats.org/officeDocument/2006/relationships/image" Target="../media/image469.png"/><Relationship Id="rId47" Type="http://schemas.openxmlformats.org/officeDocument/2006/relationships/image" Target="../media/image46.png"/><Relationship Id="rId469" Type="http://schemas.openxmlformats.org/officeDocument/2006/relationships/image" Target="../media/image468.png"/><Relationship Id="rId468" Type="http://schemas.openxmlformats.org/officeDocument/2006/relationships/image" Target="../media/image467.png"/><Relationship Id="rId467" Type="http://schemas.openxmlformats.org/officeDocument/2006/relationships/image" Target="../media/image466.png"/><Relationship Id="rId466" Type="http://schemas.openxmlformats.org/officeDocument/2006/relationships/image" Target="../media/image465.png"/><Relationship Id="rId465" Type="http://schemas.openxmlformats.org/officeDocument/2006/relationships/image" Target="../media/image464.png"/><Relationship Id="rId464" Type="http://schemas.openxmlformats.org/officeDocument/2006/relationships/image" Target="../media/image463.png"/><Relationship Id="rId463" Type="http://schemas.openxmlformats.org/officeDocument/2006/relationships/image" Target="../media/image462.png"/><Relationship Id="rId462" Type="http://schemas.openxmlformats.org/officeDocument/2006/relationships/image" Target="../media/image461.png"/><Relationship Id="rId461" Type="http://schemas.openxmlformats.org/officeDocument/2006/relationships/image" Target="../media/image460.png"/><Relationship Id="rId460" Type="http://schemas.openxmlformats.org/officeDocument/2006/relationships/image" Target="../media/image459.png"/><Relationship Id="rId46" Type="http://schemas.openxmlformats.org/officeDocument/2006/relationships/image" Target="../media/image45.png"/><Relationship Id="rId459" Type="http://schemas.openxmlformats.org/officeDocument/2006/relationships/image" Target="../media/image458.png"/><Relationship Id="rId458" Type="http://schemas.openxmlformats.org/officeDocument/2006/relationships/image" Target="../media/image457.png"/><Relationship Id="rId457" Type="http://schemas.openxmlformats.org/officeDocument/2006/relationships/image" Target="../media/image456.png"/><Relationship Id="rId456" Type="http://schemas.openxmlformats.org/officeDocument/2006/relationships/image" Target="../media/image455.png"/><Relationship Id="rId455" Type="http://schemas.openxmlformats.org/officeDocument/2006/relationships/image" Target="../media/image454.png"/><Relationship Id="rId454" Type="http://schemas.openxmlformats.org/officeDocument/2006/relationships/image" Target="../media/image453.png"/><Relationship Id="rId453" Type="http://schemas.openxmlformats.org/officeDocument/2006/relationships/image" Target="../media/image452.png"/><Relationship Id="rId452" Type="http://schemas.openxmlformats.org/officeDocument/2006/relationships/image" Target="../media/image451.png"/><Relationship Id="rId451" Type="http://schemas.openxmlformats.org/officeDocument/2006/relationships/image" Target="../media/image450.png"/><Relationship Id="rId450" Type="http://schemas.openxmlformats.org/officeDocument/2006/relationships/image" Target="../media/image449.png"/><Relationship Id="rId45" Type="http://schemas.openxmlformats.org/officeDocument/2006/relationships/image" Target="../media/image44.png"/><Relationship Id="rId449" Type="http://schemas.openxmlformats.org/officeDocument/2006/relationships/image" Target="../media/image448.png"/><Relationship Id="rId448" Type="http://schemas.openxmlformats.org/officeDocument/2006/relationships/image" Target="../media/image447.png"/><Relationship Id="rId447" Type="http://schemas.openxmlformats.org/officeDocument/2006/relationships/image" Target="../media/image446.png"/><Relationship Id="rId446" Type="http://schemas.openxmlformats.org/officeDocument/2006/relationships/image" Target="../media/image445.png"/><Relationship Id="rId445" Type="http://schemas.openxmlformats.org/officeDocument/2006/relationships/image" Target="../media/image444.png"/><Relationship Id="rId444" Type="http://schemas.openxmlformats.org/officeDocument/2006/relationships/image" Target="../media/image443.png"/><Relationship Id="rId443" Type="http://schemas.openxmlformats.org/officeDocument/2006/relationships/image" Target="../media/image442.png"/><Relationship Id="rId442" Type="http://schemas.openxmlformats.org/officeDocument/2006/relationships/image" Target="../media/image441.png"/><Relationship Id="rId441" Type="http://schemas.openxmlformats.org/officeDocument/2006/relationships/image" Target="../media/image440.png"/><Relationship Id="rId440" Type="http://schemas.openxmlformats.org/officeDocument/2006/relationships/image" Target="../media/image439.png"/><Relationship Id="rId44" Type="http://schemas.openxmlformats.org/officeDocument/2006/relationships/image" Target="../media/image43.png"/><Relationship Id="rId439" Type="http://schemas.openxmlformats.org/officeDocument/2006/relationships/image" Target="../media/image438.png"/><Relationship Id="rId438" Type="http://schemas.openxmlformats.org/officeDocument/2006/relationships/image" Target="../media/image437.png"/><Relationship Id="rId437" Type="http://schemas.openxmlformats.org/officeDocument/2006/relationships/image" Target="../media/image436.png"/><Relationship Id="rId436" Type="http://schemas.openxmlformats.org/officeDocument/2006/relationships/image" Target="../media/image435.png"/><Relationship Id="rId435" Type="http://schemas.openxmlformats.org/officeDocument/2006/relationships/image" Target="../media/image434.png"/><Relationship Id="rId434" Type="http://schemas.openxmlformats.org/officeDocument/2006/relationships/image" Target="../media/image433.png"/><Relationship Id="rId433" Type="http://schemas.openxmlformats.org/officeDocument/2006/relationships/image" Target="../media/image432.png"/><Relationship Id="rId432" Type="http://schemas.openxmlformats.org/officeDocument/2006/relationships/image" Target="../media/image431.png"/><Relationship Id="rId431" Type="http://schemas.openxmlformats.org/officeDocument/2006/relationships/image" Target="../media/image430.png"/><Relationship Id="rId430" Type="http://schemas.openxmlformats.org/officeDocument/2006/relationships/image" Target="../media/image429.png"/><Relationship Id="rId43" Type="http://schemas.openxmlformats.org/officeDocument/2006/relationships/image" Target="../media/image42.png"/><Relationship Id="rId429" Type="http://schemas.openxmlformats.org/officeDocument/2006/relationships/image" Target="../media/image428.png"/><Relationship Id="rId428" Type="http://schemas.openxmlformats.org/officeDocument/2006/relationships/image" Target="../media/image427.png"/><Relationship Id="rId427" Type="http://schemas.openxmlformats.org/officeDocument/2006/relationships/image" Target="../media/image426.png"/><Relationship Id="rId426" Type="http://schemas.openxmlformats.org/officeDocument/2006/relationships/image" Target="../media/image425.png"/><Relationship Id="rId425" Type="http://schemas.openxmlformats.org/officeDocument/2006/relationships/image" Target="../media/image424.png"/><Relationship Id="rId424" Type="http://schemas.openxmlformats.org/officeDocument/2006/relationships/image" Target="../media/image423.png"/><Relationship Id="rId423" Type="http://schemas.openxmlformats.org/officeDocument/2006/relationships/image" Target="../media/image422.png"/><Relationship Id="rId422" Type="http://schemas.openxmlformats.org/officeDocument/2006/relationships/image" Target="../media/image421.png"/><Relationship Id="rId421" Type="http://schemas.openxmlformats.org/officeDocument/2006/relationships/image" Target="../media/image420.png"/><Relationship Id="rId420" Type="http://schemas.openxmlformats.org/officeDocument/2006/relationships/image" Target="../media/image419.png"/><Relationship Id="rId42" Type="http://schemas.openxmlformats.org/officeDocument/2006/relationships/image" Target="../media/image41.png"/><Relationship Id="rId419" Type="http://schemas.openxmlformats.org/officeDocument/2006/relationships/image" Target="../media/image418.png"/><Relationship Id="rId418" Type="http://schemas.openxmlformats.org/officeDocument/2006/relationships/image" Target="../media/image417.png"/><Relationship Id="rId417" Type="http://schemas.openxmlformats.org/officeDocument/2006/relationships/image" Target="../media/image416.png"/><Relationship Id="rId416" Type="http://schemas.openxmlformats.org/officeDocument/2006/relationships/image" Target="../media/image415.png"/><Relationship Id="rId415" Type="http://schemas.openxmlformats.org/officeDocument/2006/relationships/image" Target="../media/image414.png"/><Relationship Id="rId414" Type="http://schemas.openxmlformats.org/officeDocument/2006/relationships/image" Target="../media/image413.png"/><Relationship Id="rId413" Type="http://schemas.openxmlformats.org/officeDocument/2006/relationships/image" Target="../media/image412.png"/><Relationship Id="rId412" Type="http://schemas.openxmlformats.org/officeDocument/2006/relationships/image" Target="../media/image411.png"/><Relationship Id="rId411" Type="http://schemas.openxmlformats.org/officeDocument/2006/relationships/image" Target="../media/image410.png"/><Relationship Id="rId410" Type="http://schemas.openxmlformats.org/officeDocument/2006/relationships/image" Target="../media/image409.png"/><Relationship Id="rId41" Type="http://schemas.openxmlformats.org/officeDocument/2006/relationships/image" Target="../media/image40.png"/><Relationship Id="rId409" Type="http://schemas.openxmlformats.org/officeDocument/2006/relationships/image" Target="../media/image408.png"/><Relationship Id="rId408" Type="http://schemas.openxmlformats.org/officeDocument/2006/relationships/image" Target="../media/image407.png"/><Relationship Id="rId407" Type="http://schemas.openxmlformats.org/officeDocument/2006/relationships/image" Target="../media/image406.png"/><Relationship Id="rId406" Type="http://schemas.openxmlformats.org/officeDocument/2006/relationships/image" Target="../media/image405.png"/><Relationship Id="rId405" Type="http://schemas.openxmlformats.org/officeDocument/2006/relationships/image" Target="../media/image404.png"/><Relationship Id="rId404" Type="http://schemas.openxmlformats.org/officeDocument/2006/relationships/image" Target="../media/image403.png"/><Relationship Id="rId403" Type="http://schemas.openxmlformats.org/officeDocument/2006/relationships/image" Target="../media/image402.png"/><Relationship Id="rId402" Type="http://schemas.openxmlformats.org/officeDocument/2006/relationships/image" Target="../media/image401.png"/><Relationship Id="rId401" Type="http://schemas.openxmlformats.org/officeDocument/2006/relationships/image" Target="../media/image400.png"/><Relationship Id="rId400" Type="http://schemas.openxmlformats.org/officeDocument/2006/relationships/image" Target="../media/image399.png"/><Relationship Id="rId40" Type="http://schemas.openxmlformats.org/officeDocument/2006/relationships/image" Target="../media/image39.png"/><Relationship Id="rId4" Type="http://schemas.openxmlformats.org/officeDocument/2006/relationships/image" Target="../media/image3.png"/><Relationship Id="rId399" Type="http://schemas.openxmlformats.org/officeDocument/2006/relationships/image" Target="../media/image398.png"/><Relationship Id="rId398" Type="http://schemas.openxmlformats.org/officeDocument/2006/relationships/image" Target="../media/image397.png"/><Relationship Id="rId397" Type="http://schemas.openxmlformats.org/officeDocument/2006/relationships/image" Target="../media/image396.png"/><Relationship Id="rId396" Type="http://schemas.openxmlformats.org/officeDocument/2006/relationships/image" Target="../media/image395.png"/><Relationship Id="rId395" Type="http://schemas.openxmlformats.org/officeDocument/2006/relationships/image" Target="../media/image394.png"/><Relationship Id="rId394" Type="http://schemas.openxmlformats.org/officeDocument/2006/relationships/image" Target="../media/image393.png"/><Relationship Id="rId393" Type="http://schemas.openxmlformats.org/officeDocument/2006/relationships/image" Target="../media/image392.png"/><Relationship Id="rId392" Type="http://schemas.openxmlformats.org/officeDocument/2006/relationships/image" Target="../media/image391.png"/><Relationship Id="rId391" Type="http://schemas.openxmlformats.org/officeDocument/2006/relationships/image" Target="../media/image390.png"/><Relationship Id="rId390" Type="http://schemas.openxmlformats.org/officeDocument/2006/relationships/image" Target="../media/image389.png"/><Relationship Id="rId39" Type="http://schemas.openxmlformats.org/officeDocument/2006/relationships/image" Target="../media/image38.png"/><Relationship Id="rId389" Type="http://schemas.openxmlformats.org/officeDocument/2006/relationships/image" Target="../media/image388.png"/><Relationship Id="rId388" Type="http://schemas.openxmlformats.org/officeDocument/2006/relationships/image" Target="../media/image387.png"/><Relationship Id="rId387" Type="http://schemas.openxmlformats.org/officeDocument/2006/relationships/image" Target="../media/image386.png"/><Relationship Id="rId386" Type="http://schemas.openxmlformats.org/officeDocument/2006/relationships/image" Target="../media/image385.png"/><Relationship Id="rId385" Type="http://schemas.openxmlformats.org/officeDocument/2006/relationships/image" Target="../media/image384.png"/><Relationship Id="rId384" Type="http://schemas.openxmlformats.org/officeDocument/2006/relationships/image" Target="../media/image383.png"/><Relationship Id="rId383" Type="http://schemas.openxmlformats.org/officeDocument/2006/relationships/image" Target="../media/image382.png"/><Relationship Id="rId382" Type="http://schemas.openxmlformats.org/officeDocument/2006/relationships/image" Target="../media/image381.png"/><Relationship Id="rId381" Type="http://schemas.openxmlformats.org/officeDocument/2006/relationships/image" Target="../media/image380.png"/><Relationship Id="rId380" Type="http://schemas.openxmlformats.org/officeDocument/2006/relationships/image" Target="../media/image379.png"/><Relationship Id="rId38" Type="http://schemas.openxmlformats.org/officeDocument/2006/relationships/image" Target="../media/image37.png"/><Relationship Id="rId379" Type="http://schemas.openxmlformats.org/officeDocument/2006/relationships/image" Target="../media/image378.png"/><Relationship Id="rId378" Type="http://schemas.openxmlformats.org/officeDocument/2006/relationships/image" Target="../media/image377.png"/><Relationship Id="rId377" Type="http://schemas.openxmlformats.org/officeDocument/2006/relationships/image" Target="../media/image376.png"/><Relationship Id="rId376" Type="http://schemas.openxmlformats.org/officeDocument/2006/relationships/image" Target="../media/image375.png"/><Relationship Id="rId375" Type="http://schemas.openxmlformats.org/officeDocument/2006/relationships/image" Target="../media/image374.png"/><Relationship Id="rId374" Type="http://schemas.openxmlformats.org/officeDocument/2006/relationships/image" Target="../media/image373.png"/><Relationship Id="rId373" Type="http://schemas.openxmlformats.org/officeDocument/2006/relationships/image" Target="../media/image372.png"/><Relationship Id="rId372" Type="http://schemas.openxmlformats.org/officeDocument/2006/relationships/image" Target="../media/image371.png"/><Relationship Id="rId371" Type="http://schemas.openxmlformats.org/officeDocument/2006/relationships/image" Target="../media/image370.png"/><Relationship Id="rId370" Type="http://schemas.openxmlformats.org/officeDocument/2006/relationships/image" Target="../media/image369.png"/><Relationship Id="rId37" Type="http://schemas.openxmlformats.org/officeDocument/2006/relationships/image" Target="../media/image36.png"/><Relationship Id="rId369" Type="http://schemas.openxmlformats.org/officeDocument/2006/relationships/image" Target="../media/image368.png"/><Relationship Id="rId368" Type="http://schemas.openxmlformats.org/officeDocument/2006/relationships/image" Target="../media/image367.png"/><Relationship Id="rId367" Type="http://schemas.openxmlformats.org/officeDocument/2006/relationships/image" Target="../media/image366.png"/><Relationship Id="rId366" Type="http://schemas.openxmlformats.org/officeDocument/2006/relationships/image" Target="../media/image365.png"/><Relationship Id="rId365" Type="http://schemas.openxmlformats.org/officeDocument/2006/relationships/image" Target="../media/image364.png"/><Relationship Id="rId364" Type="http://schemas.openxmlformats.org/officeDocument/2006/relationships/image" Target="../media/image363.png"/><Relationship Id="rId363" Type="http://schemas.openxmlformats.org/officeDocument/2006/relationships/image" Target="../media/image362.png"/><Relationship Id="rId362" Type="http://schemas.openxmlformats.org/officeDocument/2006/relationships/image" Target="../media/image361.png"/><Relationship Id="rId361" Type="http://schemas.openxmlformats.org/officeDocument/2006/relationships/image" Target="../media/image360.png"/><Relationship Id="rId360" Type="http://schemas.openxmlformats.org/officeDocument/2006/relationships/image" Target="../media/image359.png"/><Relationship Id="rId36" Type="http://schemas.openxmlformats.org/officeDocument/2006/relationships/image" Target="../media/image35.png"/><Relationship Id="rId359" Type="http://schemas.openxmlformats.org/officeDocument/2006/relationships/image" Target="../media/image358.png"/><Relationship Id="rId358" Type="http://schemas.openxmlformats.org/officeDocument/2006/relationships/image" Target="../media/image357.png"/><Relationship Id="rId357" Type="http://schemas.openxmlformats.org/officeDocument/2006/relationships/image" Target="../media/image356.png"/><Relationship Id="rId356" Type="http://schemas.openxmlformats.org/officeDocument/2006/relationships/image" Target="../media/image355.png"/><Relationship Id="rId355" Type="http://schemas.openxmlformats.org/officeDocument/2006/relationships/image" Target="../media/image354.png"/><Relationship Id="rId354" Type="http://schemas.openxmlformats.org/officeDocument/2006/relationships/image" Target="../media/image353.png"/><Relationship Id="rId353" Type="http://schemas.openxmlformats.org/officeDocument/2006/relationships/image" Target="../media/image352.png"/><Relationship Id="rId352" Type="http://schemas.openxmlformats.org/officeDocument/2006/relationships/image" Target="../media/image351.png"/><Relationship Id="rId351" Type="http://schemas.openxmlformats.org/officeDocument/2006/relationships/image" Target="../media/image350.png"/><Relationship Id="rId350" Type="http://schemas.openxmlformats.org/officeDocument/2006/relationships/image" Target="../media/image349.png"/><Relationship Id="rId35" Type="http://schemas.openxmlformats.org/officeDocument/2006/relationships/image" Target="../media/image34.png"/><Relationship Id="rId349" Type="http://schemas.openxmlformats.org/officeDocument/2006/relationships/image" Target="../media/image348.png"/><Relationship Id="rId348" Type="http://schemas.openxmlformats.org/officeDocument/2006/relationships/image" Target="../media/image347.png"/><Relationship Id="rId347" Type="http://schemas.openxmlformats.org/officeDocument/2006/relationships/image" Target="../media/image346.png"/><Relationship Id="rId346" Type="http://schemas.openxmlformats.org/officeDocument/2006/relationships/image" Target="../media/image345.png"/><Relationship Id="rId345" Type="http://schemas.openxmlformats.org/officeDocument/2006/relationships/image" Target="../media/image344.png"/><Relationship Id="rId344" Type="http://schemas.openxmlformats.org/officeDocument/2006/relationships/image" Target="../media/image343.png"/><Relationship Id="rId343" Type="http://schemas.openxmlformats.org/officeDocument/2006/relationships/image" Target="../media/image342.png"/><Relationship Id="rId342" Type="http://schemas.openxmlformats.org/officeDocument/2006/relationships/image" Target="../media/image341.png"/><Relationship Id="rId341" Type="http://schemas.openxmlformats.org/officeDocument/2006/relationships/image" Target="../media/image340.png"/><Relationship Id="rId340" Type="http://schemas.openxmlformats.org/officeDocument/2006/relationships/image" Target="../media/image339.png"/><Relationship Id="rId34" Type="http://schemas.openxmlformats.org/officeDocument/2006/relationships/image" Target="../media/image33.png"/><Relationship Id="rId339" Type="http://schemas.openxmlformats.org/officeDocument/2006/relationships/image" Target="../media/image338.png"/><Relationship Id="rId338" Type="http://schemas.openxmlformats.org/officeDocument/2006/relationships/image" Target="../media/image337.png"/><Relationship Id="rId337" Type="http://schemas.openxmlformats.org/officeDocument/2006/relationships/image" Target="../media/image336.png"/><Relationship Id="rId336" Type="http://schemas.openxmlformats.org/officeDocument/2006/relationships/image" Target="../media/image335.png"/><Relationship Id="rId335" Type="http://schemas.openxmlformats.org/officeDocument/2006/relationships/image" Target="../media/image334.png"/><Relationship Id="rId334" Type="http://schemas.openxmlformats.org/officeDocument/2006/relationships/image" Target="../media/image333.png"/><Relationship Id="rId333" Type="http://schemas.openxmlformats.org/officeDocument/2006/relationships/image" Target="../media/image332.png"/><Relationship Id="rId332" Type="http://schemas.openxmlformats.org/officeDocument/2006/relationships/image" Target="../media/image331.png"/><Relationship Id="rId331" Type="http://schemas.openxmlformats.org/officeDocument/2006/relationships/image" Target="../media/image330.png"/><Relationship Id="rId330" Type="http://schemas.openxmlformats.org/officeDocument/2006/relationships/image" Target="../media/image329.png"/><Relationship Id="rId33" Type="http://schemas.openxmlformats.org/officeDocument/2006/relationships/image" Target="../media/image32.png"/><Relationship Id="rId329" Type="http://schemas.openxmlformats.org/officeDocument/2006/relationships/image" Target="../media/image328.png"/><Relationship Id="rId328" Type="http://schemas.openxmlformats.org/officeDocument/2006/relationships/image" Target="../media/image327.png"/><Relationship Id="rId327" Type="http://schemas.openxmlformats.org/officeDocument/2006/relationships/image" Target="../media/image326.png"/><Relationship Id="rId326" Type="http://schemas.openxmlformats.org/officeDocument/2006/relationships/image" Target="../media/image325.png"/><Relationship Id="rId325" Type="http://schemas.openxmlformats.org/officeDocument/2006/relationships/image" Target="../media/image324.png"/><Relationship Id="rId324" Type="http://schemas.openxmlformats.org/officeDocument/2006/relationships/image" Target="../media/image323.png"/><Relationship Id="rId323" Type="http://schemas.openxmlformats.org/officeDocument/2006/relationships/image" Target="../media/image322.png"/><Relationship Id="rId322" Type="http://schemas.openxmlformats.org/officeDocument/2006/relationships/image" Target="../media/image321.png"/><Relationship Id="rId321" Type="http://schemas.openxmlformats.org/officeDocument/2006/relationships/image" Target="../media/image320.png"/><Relationship Id="rId320" Type="http://schemas.openxmlformats.org/officeDocument/2006/relationships/image" Target="../media/image319.png"/><Relationship Id="rId32" Type="http://schemas.openxmlformats.org/officeDocument/2006/relationships/image" Target="../media/image31.png"/><Relationship Id="rId319" Type="http://schemas.openxmlformats.org/officeDocument/2006/relationships/image" Target="../media/image318.png"/><Relationship Id="rId318" Type="http://schemas.openxmlformats.org/officeDocument/2006/relationships/image" Target="../media/image317.png"/><Relationship Id="rId317" Type="http://schemas.openxmlformats.org/officeDocument/2006/relationships/image" Target="../media/image316.png"/><Relationship Id="rId316" Type="http://schemas.openxmlformats.org/officeDocument/2006/relationships/image" Target="../media/image315.png"/><Relationship Id="rId315" Type="http://schemas.openxmlformats.org/officeDocument/2006/relationships/image" Target="../media/image314.png"/><Relationship Id="rId314" Type="http://schemas.openxmlformats.org/officeDocument/2006/relationships/image" Target="../media/image313.png"/><Relationship Id="rId313" Type="http://schemas.openxmlformats.org/officeDocument/2006/relationships/image" Target="../media/image312.png"/><Relationship Id="rId312" Type="http://schemas.openxmlformats.org/officeDocument/2006/relationships/image" Target="../media/image311.png"/><Relationship Id="rId311" Type="http://schemas.openxmlformats.org/officeDocument/2006/relationships/image" Target="../media/image310.png"/><Relationship Id="rId310" Type="http://schemas.openxmlformats.org/officeDocument/2006/relationships/image" Target="../media/image309.png"/><Relationship Id="rId31" Type="http://schemas.openxmlformats.org/officeDocument/2006/relationships/image" Target="../media/image30.png"/><Relationship Id="rId309" Type="http://schemas.openxmlformats.org/officeDocument/2006/relationships/image" Target="../media/image308.png"/><Relationship Id="rId308" Type="http://schemas.openxmlformats.org/officeDocument/2006/relationships/image" Target="../media/image307.png"/><Relationship Id="rId307" Type="http://schemas.openxmlformats.org/officeDocument/2006/relationships/image" Target="../media/image306.png"/><Relationship Id="rId306" Type="http://schemas.openxmlformats.org/officeDocument/2006/relationships/image" Target="../media/image305.png"/><Relationship Id="rId305" Type="http://schemas.openxmlformats.org/officeDocument/2006/relationships/image" Target="../media/image304.png"/><Relationship Id="rId304" Type="http://schemas.openxmlformats.org/officeDocument/2006/relationships/image" Target="../media/image303.png"/><Relationship Id="rId303" Type="http://schemas.openxmlformats.org/officeDocument/2006/relationships/image" Target="../media/image302.png"/><Relationship Id="rId302" Type="http://schemas.openxmlformats.org/officeDocument/2006/relationships/image" Target="../media/image301.png"/><Relationship Id="rId301" Type="http://schemas.openxmlformats.org/officeDocument/2006/relationships/image" Target="../media/image300.png"/><Relationship Id="rId300" Type="http://schemas.openxmlformats.org/officeDocument/2006/relationships/image" Target="../media/image299.png"/><Relationship Id="rId30" Type="http://schemas.openxmlformats.org/officeDocument/2006/relationships/image" Target="../media/image29.png"/><Relationship Id="rId3" Type="http://schemas.openxmlformats.org/officeDocument/2006/relationships/image" Target="NULL" TargetMode="External"/><Relationship Id="rId299" Type="http://schemas.openxmlformats.org/officeDocument/2006/relationships/image" Target="../media/image298.png"/><Relationship Id="rId298" Type="http://schemas.openxmlformats.org/officeDocument/2006/relationships/image" Target="../media/image297.png"/><Relationship Id="rId297" Type="http://schemas.openxmlformats.org/officeDocument/2006/relationships/image" Target="../media/image296.png"/><Relationship Id="rId296" Type="http://schemas.openxmlformats.org/officeDocument/2006/relationships/image" Target="../media/image295.png"/><Relationship Id="rId295" Type="http://schemas.openxmlformats.org/officeDocument/2006/relationships/image" Target="../media/image294.png"/><Relationship Id="rId294" Type="http://schemas.openxmlformats.org/officeDocument/2006/relationships/image" Target="../media/image293.png"/><Relationship Id="rId293" Type="http://schemas.openxmlformats.org/officeDocument/2006/relationships/image" Target="../media/image292.png"/><Relationship Id="rId292" Type="http://schemas.openxmlformats.org/officeDocument/2006/relationships/image" Target="../media/image291.png"/><Relationship Id="rId291" Type="http://schemas.openxmlformats.org/officeDocument/2006/relationships/image" Target="../media/image290.png"/><Relationship Id="rId290" Type="http://schemas.openxmlformats.org/officeDocument/2006/relationships/image" Target="../media/image289.png"/><Relationship Id="rId29" Type="http://schemas.openxmlformats.org/officeDocument/2006/relationships/image" Target="../media/image28.png"/><Relationship Id="rId289" Type="http://schemas.openxmlformats.org/officeDocument/2006/relationships/image" Target="../media/image288.png"/><Relationship Id="rId288" Type="http://schemas.openxmlformats.org/officeDocument/2006/relationships/image" Target="../media/image287.png"/><Relationship Id="rId287" Type="http://schemas.openxmlformats.org/officeDocument/2006/relationships/image" Target="../media/image286.png"/><Relationship Id="rId286" Type="http://schemas.openxmlformats.org/officeDocument/2006/relationships/image" Target="../media/image285.png"/><Relationship Id="rId285" Type="http://schemas.openxmlformats.org/officeDocument/2006/relationships/image" Target="../media/image284.png"/><Relationship Id="rId284" Type="http://schemas.openxmlformats.org/officeDocument/2006/relationships/image" Target="../media/image283.png"/><Relationship Id="rId283" Type="http://schemas.openxmlformats.org/officeDocument/2006/relationships/image" Target="../media/image282.png"/><Relationship Id="rId282" Type="http://schemas.openxmlformats.org/officeDocument/2006/relationships/image" Target="../media/image281.png"/><Relationship Id="rId281" Type="http://schemas.openxmlformats.org/officeDocument/2006/relationships/image" Target="../media/image280.png"/><Relationship Id="rId280" Type="http://schemas.openxmlformats.org/officeDocument/2006/relationships/image" Target="../media/image279.png"/><Relationship Id="rId28" Type="http://schemas.openxmlformats.org/officeDocument/2006/relationships/image" Target="../media/image27.png"/><Relationship Id="rId279" Type="http://schemas.openxmlformats.org/officeDocument/2006/relationships/image" Target="../media/image278.png"/><Relationship Id="rId278" Type="http://schemas.openxmlformats.org/officeDocument/2006/relationships/image" Target="../media/image277.png"/><Relationship Id="rId277" Type="http://schemas.openxmlformats.org/officeDocument/2006/relationships/image" Target="../media/image276.png"/><Relationship Id="rId276" Type="http://schemas.openxmlformats.org/officeDocument/2006/relationships/image" Target="../media/image275.png"/><Relationship Id="rId275" Type="http://schemas.openxmlformats.org/officeDocument/2006/relationships/image" Target="../media/image274.png"/><Relationship Id="rId274" Type="http://schemas.openxmlformats.org/officeDocument/2006/relationships/image" Target="../media/image273.png"/><Relationship Id="rId273" Type="http://schemas.openxmlformats.org/officeDocument/2006/relationships/image" Target="../media/image272.png"/><Relationship Id="rId272" Type="http://schemas.openxmlformats.org/officeDocument/2006/relationships/image" Target="../media/image271.png"/><Relationship Id="rId271" Type="http://schemas.openxmlformats.org/officeDocument/2006/relationships/image" Target="../media/image270.png"/><Relationship Id="rId270" Type="http://schemas.openxmlformats.org/officeDocument/2006/relationships/image" Target="../media/image269.png"/><Relationship Id="rId27" Type="http://schemas.openxmlformats.org/officeDocument/2006/relationships/image" Target="../media/image26.png"/><Relationship Id="rId269" Type="http://schemas.openxmlformats.org/officeDocument/2006/relationships/image" Target="../media/image268.png"/><Relationship Id="rId268" Type="http://schemas.openxmlformats.org/officeDocument/2006/relationships/image" Target="../media/image267.png"/><Relationship Id="rId267" Type="http://schemas.openxmlformats.org/officeDocument/2006/relationships/image" Target="../media/image266.png"/><Relationship Id="rId266" Type="http://schemas.openxmlformats.org/officeDocument/2006/relationships/image" Target="../media/image265.png"/><Relationship Id="rId265" Type="http://schemas.openxmlformats.org/officeDocument/2006/relationships/image" Target="../media/image264.png"/><Relationship Id="rId264" Type="http://schemas.openxmlformats.org/officeDocument/2006/relationships/image" Target="../media/image263.png"/><Relationship Id="rId263" Type="http://schemas.openxmlformats.org/officeDocument/2006/relationships/image" Target="../media/image262.png"/><Relationship Id="rId262" Type="http://schemas.openxmlformats.org/officeDocument/2006/relationships/image" Target="../media/image261.png"/><Relationship Id="rId261" Type="http://schemas.openxmlformats.org/officeDocument/2006/relationships/image" Target="../media/image260.png"/><Relationship Id="rId260" Type="http://schemas.openxmlformats.org/officeDocument/2006/relationships/image" Target="../media/image259.png"/><Relationship Id="rId26" Type="http://schemas.openxmlformats.org/officeDocument/2006/relationships/image" Target="../media/image25.png"/><Relationship Id="rId259" Type="http://schemas.openxmlformats.org/officeDocument/2006/relationships/image" Target="../media/image258.png"/><Relationship Id="rId258" Type="http://schemas.openxmlformats.org/officeDocument/2006/relationships/image" Target="../media/image257.png"/><Relationship Id="rId257" Type="http://schemas.openxmlformats.org/officeDocument/2006/relationships/image" Target="../media/image256.png"/><Relationship Id="rId256" Type="http://schemas.openxmlformats.org/officeDocument/2006/relationships/image" Target="../media/image255.png"/><Relationship Id="rId255" Type="http://schemas.openxmlformats.org/officeDocument/2006/relationships/image" Target="../media/image254.png"/><Relationship Id="rId254" Type="http://schemas.openxmlformats.org/officeDocument/2006/relationships/image" Target="../media/image253.png"/><Relationship Id="rId253" Type="http://schemas.openxmlformats.org/officeDocument/2006/relationships/image" Target="../media/image252.png"/><Relationship Id="rId252" Type="http://schemas.openxmlformats.org/officeDocument/2006/relationships/image" Target="../media/image251.png"/><Relationship Id="rId251" Type="http://schemas.openxmlformats.org/officeDocument/2006/relationships/image" Target="../media/image250.png"/><Relationship Id="rId250" Type="http://schemas.openxmlformats.org/officeDocument/2006/relationships/image" Target="../media/image249.png"/><Relationship Id="rId25" Type="http://schemas.openxmlformats.org/officeDocument/2006/relationships/image" Target="../media/image24.png"/><Relationship Id="rId249" Type="http://schemas.openxmlformats.org/officeDocument/2006/relationships/image" Target="../media/image248.png"/><Relationship Id="rId248" Type="http://schemas.openxmlformats.org/officeDocument/2006/relationships/image" Target="../media/image247.png"/><Relationship Id="rId247" Type="http://schemas.openxmlformats.org/officeDocument/2006/relationships/image" Target="../media/image246.png"/><Relationship Id="rId246" Type="http://schemas.openxmlformats.org/officeDocument/2006/relationships/image" Target="../media/image245.png"/><Relationship Id="rId245" Type="http://schemas.openxmlformats.org/officeDocument/2006/relationships/image" Target="../media/image244.png"/><Relationship Id="rId244" Type="http://schemas.openxmlformats.org/officeDocument/2006/relationships/image" Target="../media/image243.png"/><Relationship Id="rId243" Type="http://schemas.openxmlformats.org/officeDocument/2006/relationships/image" Target="../media/image242.png"/><Relationship Id="rId242" Type="http://schemas.openxmlformats.org/officeDocument/2006/relationships/image" Target="../media/image241.png"/><Relationship Id="rId241" Type="http://schemas.openxmlformats.org/officeDocument/2006/relationships/image" Target="../media/image240.png"/><Relationship Id="rId240" Type="http://schemas.openxmlformats.org/officeDocument/2006/relationships/image" Target="../media/image239.png"/><Relationship Id="rId24" Type="http://schemas.openxmlformats.org/officeDocument/2006/relationships/image" Target="../media/image23.png"/><Relationship Id="rId239" Type="http://schemas.openxmlformats.org/officeDocument/2006/relationships/image" Target="../media/image238.png"/><Relationship Id="rId238" Type="http://schemas.openxmlformats.org/officeDocument/2006/relationships/image" Target="../media/image237.png"/><Relationship Id="rId237" Type="http://schemas.openxmlformats.org/officeDocument/2006/relationships/image" Target="../media/image236.png"/><Relationship Id="rId236" Type="http://schemas.openxmlformats.org/officeDocument/2006/relationships/image" Target="../media/image235.png"/><Relationship Id="rId235" Type="http://schemas.openxmlformats.org/officeDocument/2006/relationships/image" Target="../media/image234.png"/><Relationship Id="rId234" Type="http://schemas.openxmlformats.org/officeDocument/2006/relationships/image" Target="../media/image233.png"/><Relationship Id="rId233" Type="http://schemas.openxmlformats.org/officeDocument/2006/relationships/image" Target="../media/image232.png"/><Relationship Id="rId232" Type="http://schemas.openxmlformats.org/officeDocument/2006/relationships/image" Target="../media/image231.png"/><Relationship Id="rId231" Type="http://schemas.openxmlformats.org/officeDocument/2006/relationships/image" Target="../media/image230.png"/><Relationship Id="rId230" Type="http://schemas.openxmlformats.org/officeDocument/2006/relationships/image" Target="../media/image229.png"/><Relationship Id="rId23" Type="http://schemas.openxmlformats.org/officeDocument/2006/relationships/image" Target="../media/image22.png"/><Relationship Id="rId229" Type="http://schemas.openxmlformats.org/officeDocument/2006/relationships/image" Target="../media/image228.png"/><Relationship Id="rId228" Type="http://schemas.openxmlformats.org/officeDocument/2006/relationships/image" Target="../media/image227.png"/><Relationship Id="rId227" Type="http://schemas.openxmlformats.org/officeDocument/2006/relationships/image" Target="../media/image226.png"/><Relationship Id="rId226" Type="http://schemas.openxmlformats.org/officeDocument/2006/relationships/image" Target="../media/image225.png"/><Relationship Id="rId225" Type="http://schemas.openxmlformats.org/officeDocument/2006/relationships/image" Target="../media/image224.png"/><Relationship Id="rId224" Type="http://schemas.openxmlformats.org/officeDocument/2006/relationships/image" Target="../media/image223.png"/><Relationship Id="rId223" Type="http://schemas.openxmlformats.org/officeDocument/2006/relationships/image" Target="../media/image222.png"/><Relationship Id="rId222" Type="http://schemas.openxmlformats.org/officeDocument/2006/relationships/image" Target="../media/image221.png"/><Relationship Id="rId221" Type="http://schemas.openxmlformats.org/officeDocument/2006/relationships/image" Target="../media/image220.png"/><Relationship Id="rId220" Type="http://schemas.openxmlformats.org/officeDocument/2006/relationships/image" Target="../media/image219.png"/><Relationship Id="rId22" Type="http://schemas.openxmlformats.org/officeDocument/2006/relationships/image" Target="../media/image21.png"/><Relationship Id="rId219" Type="http://schemas.openxmlformats.org/officeDocument/2006/relationships/image" Target="../media/image218.png"/><Relationship Id="rId218" Type="http://schemas.openxmlformats.org/officeDocument/2006/relationships/image" Target="../media/image217.png"/><Relationship Id="rId217" Type="http://schemas.openxmlformats.org/officeDocument/2006/relationships/image" Target="../media/image216.png"/><Relationship Id="rId216" Type="http://schemas.openxmlformats.org/officeDocument/2006/relationships/image" Target="../media/image215.png"/><Relationship Id="rId215" Type="http://schemas.openxmlformats.org/officeDocument/2006/relationships/image" Target="../media/image214.png"/><Relationship Id="rId214" Type="http://schemas.openxmlformats.org/officeDocument/2006/relationships/image" Target="../media/image213.png"/><Relationship Id="rId213" Type="http://schemas.openxmlformats.org/officeDocument/2006/relationships/image" Target="../media/image212.png"/><Relationship Id="rId212" Type="http://schemas.openxmlformats.org/officeDocument/2006/relationships/image" Target="../media/image211.png"/><Relationship Id="rId211" Type="http://schemas.openxmlformats.org/officeDocument/2006/relationships/image" Target="../media/image210.png"/><Relationship Id="rId210" Type="http://schemas.openxmlformats.org/officeDocument/2006/relationships/image" Target="../media/image209.png"/><Relationship Id="rId21" Type="http://schemas.openxmlformats.org/officeDocument/2006/relationships/image" Target="../media/image20.png"/><Relationship Id="rId209" Type="http://schemas.openxmlformats.org/officeDocument/2006/relationships/image" Target="../media/image208.png"/><Relationship Id="rId208" Type="http://schemas.openxmlformats.org/officeDocument/2006/relationships/image" Target="../media/image207.png"/><Relationship Id="rId207" Type="http://schemas.openxmlformats.org/officeDocument/2006/relationships/image" Target="../media/image206.png"/><Relationship Id="rId206" Type="http://schemas.openxmlformats.org/officeDocument/2006/relationships/image" Target="../media/image205.png"/><Relationship Id="rId205" Type="http://schemas.openxmlformats.org/officeDocument/2006/relationships/image" Target="../media/image204.png"/><Relationship Id="rId204" Type="http://schemas.openxmlformats.org/officeDocument/2006/relationships/image" Target="../media/image203.png"/><Relationship Id="rId203" Type="http://schemas.openxmlformats.org/officeDocument/2006/relationships/image" Target="../media/image202.png"/><Relationship Id="rId202" Type="http://schemas.openxmlformats.org/officeDocument/2006/relationships/image" Target="../media/image201.png"/><Relationship Id="rId201" Type="http://schemas.openxmlformats.org/officeDocument/2006/relationships/image" Target="../media/image200.png"/><Relationship Id="rId200" Type="http://schemas.openxmlformats.org/officeDocument/2006/relationships/image" Target="../media/image199.png"/><Relationship Id="rId20" Type="http://schemas.openxmlformats.org/officeDocument/2006/relationships/image" Target="../media/image19.png"/><Relationship Id="rId2" Type="http://schemas.openxmlformats.org/officeDocument/2006/relationships/image" Target="../media/image2.png"/><Relationship Id="rId199" Type="http://schemas.openxmlformats.org/officeDocument/2006/relationships/image" Target="../media/image198.png"/><Relationship Id="rId198" Type="http://schemas.openxmlformats.org/officeDocument/2006/relationships/image" Target="../media/image197.png"/><Relationship Id="rId197" Type="http://schemas.openxmlformats.org/officeDocument/2006/relationships/image" Target="../media/image196.png"/><Relationship Id="rId196" Type="http://schemas.openxmlformats.org/officeDocument/2006/relationships/image" Target="../media/image195.png"/><Relationship Id="rId195" Type="http://schemas.openxmlformats.org/officeDocument/2006/relationships/image" Target="../media/image194.png"/><Relationship Id="rId194" Type="http://schemas.openxmlformats.org/officeDocument/2006/relationships/image" Target="../media/image193.png"/><Relationship Id="rId193" Type="http://schemas.openxmlformats.org/officeDocument/2006/relationships/image" Target="../media/image192.png"/><Relationship Id="rId192" Type="http://schemas.openxmlformats.org/officeDocument/2006/relationships/image" Target="../media/image191.png"/><Relationship Id="rId191" Type="http://schemas.openxmlformats.org/officeDocument/2006/relationships/image" Target="../media/image190.png"/><Relationship Id="rId190" Type="http://schemas.openxmlformats.org/officeDocument/2006/relationships/image" Target="../media/image189.png"/><Relationship Id="rId19" Type="http://schemas.openxmlformats.org/officeDocument/2006/relationships/image" Target="../media/image18.png"/><Relationship Id="rId189" Type="http://schemas.openxmlformats.org/officeDocument/2006/relationships/image" Target="../media/image188.png"/><Relationship Id="rId188" Type="http://schemas.openxmlformats.org/officeDocument/2006/relationships/image" Target="../media/image187.png"/><Relationship Id="rId187" Type="http://schemas.openxmlformats.org/officeDocument/2006/relationships/image" Target="../media/image186.png"/><Relationship Id="rId186" Type="http://schemas.openxmlformats.org/officeDocument/2006/relationships/image" Target="../media/image185.png"/><Relationship Id="rId185" Type="http://schemas.openxmlformats.org/officeDocument/2006/relationships/image" Target="../media/image184.png"/><Relationship Id="rId184" Type="http://schemas.openxmlformats.org/officeDocument/2006/relationships/image" Target="../media/image183.png"/><Relationship Id="rId183" Type="http://schemas.openxmlformats.org/officeDocument/2006/relationships/image" Target="../media/image182.png"/><Relationship Id="rId182" Type="http://schemas.openxmlformats.org/officeDocument/2006/relationships/image" Target="../media/image181.png"/><Relationship Id="rId181" Type="http://schemas.openxmlformats.org/officeDocument/2006/relationships/image" Target="../media/image180.png"/><Relationship Id="rId180" Type="http://schemas.openxmlformats.org/officeDocument/2006/relationships/image" Target="../media/image179.png"/><Relationship Id="rId18" Type="http://schemas.openxmlformats.org/officeDocument/2006/relationships/image" Target="../media/image17.png"/><Relationship Id="rId179" Type="http://schemas.openxmlformats.org/officeDocument/2006/relationships/image" Target="../media/image178.png"/><Relationship Id="rId178" Type="http://schemas.openxmlformats.org/officeDocument/2006/relationships/image" Target="../media/image177.png"/><Relationship Id="rId177" Type="http://schemas.openxmlformats.org/officeDocument/2006/relationships/image" Target="../media/image176.png"/><Relationship Id="rId176" Type="http://schemas.openxmlformats.org/officeDocument/2006/relationships/image" Target="../media/image175.png"/><Relationship Id="rId175" Type="http://schemas.openxmlformats.org/officeDocument/2006/relationships/image" Target="../media/image174.png"/><Relationship Id="rId174" Type="http://schemas.openxmlformats.org/officeDocument/2006/relationships/image" Target="../media/image173.png"/><Relationship Id="rId173" Type="http://schemas.openxmlformats.org/officeDocument/2006/relationships/image" Target="../media/image172.png"/><Relationship Id="rId172" Type="http://schemas.openxmlformats.org/officeDocument/2006/relationships/image" Target="../media/image171.png"/><Relationship Id="rId171" Type="http://schemas.openxmlformats.org/officeDocument/2006/relationships/image" Target="../media/image170.png"/><Relationship Id="rId170" Type="http://schemas.openxmlformats.org/officeDocument/2006/relationships/image" Target="../media/image169.png"/><Relationship Id="rId17" Type="http://schemas.openxmlformats.org/officeDocument/2006/relationships/image" Target="../media/image16.png"/><Relationship Id="rId169" Type="http://schemas.openxmlformats.org/officeDocument/2006/relationships/image" Target="../media/image168.png"/><Relationship Id="rId168" Type="http://schemas.openxmlformats.org/officeDocument/2006/relationships/image" Target="../media/image167.png"/><Relationship Id="rId167" Type="http://schemas.openxmlformats.org/officeDocument/2006/relationships/image" Target="../media/image166.png"/><Relationship Id="rId166" Type="http://schemas.openxmlformats.org/officeDocument/2006/relationships/image" Target="../media/image165.png"/><Relationship Id="rId165" Type="http://schemas.openxmlformats.org/officeDocument/2006/relationships/image" Target="../media/image164.png"/><Relationship Id="rId164" Type="http://schemas.openxmlformats.org/officeDocument/2006/relationships/image" Target="../media/image163.png"/><Relationship Id="rId163" Type="http://schemas.openxmlformats.org/officeDocument/2006/relationships/image" Target="../media/image162.png"/><Relationship Id="rId162" Type="http://schemas.openxmlformats.org/officeDocument/2006/relationships/image" Target="../media/image161.png"/><Relationship Id="rId161" Type="http://schemas.openxmlformats.org/officeDocument/2006/relationships/image" Target="../media/image160.png"/><Relationship Id="rId160" Type="http://schemas.openxmlformats.org/officeDocument/2006/relationships/image" Target="../media/image159.png"/><Relationship Id="rId16" Type="http://schemas.openxmlformats.org/officeDocument/2006/relationships/image" Target="../media/image15.png"/><Relationship Id="rId159" Type="http://schemas.openxmlformats.org/officeDocument/2006/relationships/image" Target="../media/image158.png"/><Relationship Id="rId158" Type="http://schemas.openxmlformats.org/officeDocument/2006/relationships/image" Target="../media/image157.png"/><Relationship Id="rId157" Type="http://schemas.openxmlformats.org/officeDocument/2006/relationships/image" Target="../media/image156.png"/><Relationship Id="rId156" Type="http://schemas.openxmlformats.org/officeDocument/2006/relationships/image" Target="../media/image155.png"/><Relationship Id="rId155" Type="http://schemas.openxmlformats.org/officeDocument/2006/relationships/image" Target="../media/image154.png"/><Relationship Id="rId154" Type="http://schemas.openxmlformats.org/officeDocument/2006/relationships/image" Target="../media/image153.png"/><Relationship Id="rId153" Type="http://schemas.openxmlformats.org/officeDocument/2006/relationships/image" Target="../media/image152.png"/><Relationship Id="rId152" Type="http://schemas.openxmlformats.org/officeDocument/2006/relationships/image" Target="../media/image151.png"/><Relationship Id="rId151" Type="http://schemas.openxmlformats.org/officeDocument/2006/relationships/image" Target="../media/image150.png"/><Relationship Id="rId150" Type="http://schemas.openxmlformats.org/officeDocument/2006/relationships/image" Target="../media/image149.png"/><Relationship Id="rId15" Type="http://schemas.openxmlformats.org/officeDocument/2006/relationships/image" Target="../media/image14.png"/><Relationship Id="rId149" Type="http://schemas.openxmlformats.org/officeDocument/2006/relationships/image" Target="../media/image148.png"/><Relationship Id="rId148" Type="http://schemas.openxmlformats.org/officeDocument/2006/relationships/image" Target="../media/image147.png"/><Relationship Id="rId147" Type="http://schemas.openxmlformats.org/officeDocument/2006/relationships/image" Target="../media/image146.png"/><Relationship Id="rId146" Type="http://schemas.openxmlformats.org/officeDocument/2006/relationships/image" Target="../media/image145.png"/><Relationship Id="rId145" Type="http://schemas.openxmlformats.org/officeDocument/2006/relationships/image" Target="../media/image144.png"/><Relationship Id="rId144" Type="http://schemas.openxmlformats.org/officeDocument/2006/relationships/image" Target="../media/image143.png"/><Relationship Id="rId143" Type="http://schemas.openxmlformats.org/officeDocument/2006/relationships/image" Target="../media/image142.png"/><Relationship Id="rId142" Type="http://schemas.openxmlformats.org/officeDocument/2006/relationships/image" Target="../media/image141.png"/><Relationship Id="rId141" Type="http://schemas.openxmlformats.org/officeDocument/2006/relationships/image" Target="../media/image140.png"/><Relationship Id="rId140" Type="http://schemas.openxmlformats.org/officeDocument/2006/relationships/image" Target="../media/image139.png"/><Relationship Id="rId14" Type="http://schemas.openxmlformats.org/officeDocument/2006/relationships/image" Target="../media/image13.png"/><Relationship Id="rId139" Type="http://schemas.openxmlformats.org/officeDocument/2006/relationships/image" Target="../media/image138.png"/><Relationship Id="rId138" Type="http://schemas.openxmlformats.org/officeDocument/2006/relationships/image" Target="../media/image137.png"/><Relationship Id="rId137" Type="http://schemas.openxmlformats.org/officeDocument/2006/relationships/image" Target="../media/image136.png"/><Relationship Id="rId136" Type="http://schemas.openxmlformats.org/officeDocument/2006/relationships/image" Target="../media/image135.png"/><Relationship Id="rId135" Type="http://schemas.openxmlformats.org/officeDocument/2006/relationships/image" Target="../media/image134.png"/><Relationship Id="rId134" Type="http://schemas.openxmlformats.org/officeDocument/2006/relationships/image" Target="../media/image133.png"/><Relationship Id="rId133" Type="http://schemas.openxmlformats.org/officeDocument/2006/relationships/image" Target="../media/image132.png"/><Relationship Id="rId132" Type="http://schemas.openxmlformats.org/officeDocument/2006/relationships/image" Target="../media/image131.png"/><Relationship Id="rId131" Type="http://schemas.openxmlformats.org/officeDocument/2006/relationships/image" Target="../media/image130.png"/><Relationship Id="rId130" Type="http://schemas.openxmlformats.org/officeDocument/2006/relationships/image" Target="../media/image129.png"/><Relationship Id="rId13" Type="http://schemas.openxmlformats.org/officeDocument/2006/relationships/image" Target="../media/image12.png"/><Relationship Id="rId129" Type="http://schemas.openxmlformats.org/officeDocument/2006/relationships/image" Target="../media/image128.png"/><Relationship Id="rId128" Type="http://schemas.openxmlformats.org/officeDocument/2006/relationships/image" Target="../media/image127.png"/><Relationship Id="rId127" Type="http://schemas.openxmlformats.org/officeDocument/2006/relationships/image" Target="../media/image126.png"/><Relationship Id="rId126" Type="http://schemas.openxmlformats.org/officeDocument/2006/relationships/image" Target="../media/image125.png"/><Relationship Id="rId125" Type="http://schemas.openxmlformats.org/officeDocument/2006/relationships/image" Target="../media/image124.png"/><Relationship Id="rId124" Type="http://schemas.openxmlformats.org/officeDocument/2006/relationships/image" Target="../media/image123.png"/><Relationship Id="rId123" Type="http://schemas.openxmlformats.org/officeDocument/2006/relationships/image" Target="../media/image122.png"/><Relationship Id="rId122" Type="http://schemas.openxmlformats.org/officeDocument/2006/relationships/image" Target="../media/image121.png"/><Relationship Id="rId121" Type="http://schemas.openxmlformats.org/officeDocument/2006/relationships/image" Target="../media/image120.png"/><Relationship Id="rId120" Type="http://schemas.openxmlformats.org/officeDocument/2006/relationships/image" Target="../media/image119.png"/><Relationship Id="rId12" Type="http://schemas.openxmlformats.org/officeDocument/2006/relationships/image" Target="../media/image11.png"/><Relationship Id="rId119" Type="http://schemas.openxmlformats.org/officeDocument/2006/relationships/image" Target="../media/image118.png"/><Relationship Id="rId118" Type="http://schemas.openxmlformats.org/officeDocument/2006/relationships/image" Target="../media/image117.png"/><Relationship Id="rId117" Type="http://schemas.openxmlformats.org/officeDocument/2006/relationships/image" Target="../media/image116.png"/><Relationship Id="rId116" Type="http://schemas.openxmlformats.org/officeDocument/2006/relationships/image" Target="../media/image115.png"/><Relationship Id="rId115" Type="http://schemas.openxmlformats.org/officeDocument/2006/relationships/image" Target="../media/image114.png"/><Relationship Id="rId114" Type="http://schemas.openxmlformats.org/officeDocument/2006/relationships/image" Target="../media/image113.png"/><Relationship Id="rId113" Type="http://schemas.openxmlformats.org/officeDocument/2006/relationships/image" Target="../media/image112.png"/><Relationship Id="rId112" Type="http://schemas.openxmlformats.org/officeDocument/2006/relationships/image" Target="../media/image111.png"/><Relationship Id="rId111" Type="http://schemas.openxmlformats.org/officeDocument/2006/relationships/image" Target="../media/image110.png"/><Relationship Id="rId110" Type="http://schemas.openxmlformats.org/officeDocument/2006/relationships/image" Target="../media/image109.png"/><Relationship Id="rId11" Type="http://schemas.openxmlformats.org/officeDocument/2006/relationships/image" Target="../media/image10.png"/><Relationship Id="rId109" Type="http://schemas.openxmlformats.org/officeDocument/2006/relationships/image" Target="../media/image108.png"/><Relationship Id="rId108" Type="http://schemas.openxmlformats.org/officeDocument/2006/relationships/image" Target="../media/image107.png"/><Relationship Id="rId107" Type="http://schemas.openxmlformats.org/officeDocument/2006/relationships/image" Target="../media/image106.png"/><Relationship Id="rId106" Type="http://schemas.openxmlformats.org/officeDocument/2006/relationships/image" Target="../media/image105.png"/><Relationship Id="rId105" Type="http://schemas.openxmlformats.org/officeDocument/2006/relationships/image" Target="../media/image104.png"/><Relationship Id="rId104" Type="http://schemas.openxmlformats.org/officeDocument/2006/relationships/image" Target="../media/image103.png"/><Relationship Id="rId103" Type="http://schemas.openxmlformats.org/officeDocument/2006/relationships/image" Target="../media/image102.png"/><Relationship Id="rId102" Type="http://schemas.openxmlformats.org/officeDocument/2006/relationships/image" Target="../media/image101.png"/><Relationship Id="rId101" Type="http://schemas.openxmlformats.org/officeDocument/2006/relationships/image" Target="../media/image100.png"/><Relationship Id="rId100" Type="http://schemas.openxmlformats.org/officeDocument/2006/relationships/image" Target="../media/image99.png"/><Relationship Id="rId10" Type="http://schemas.openxmlformats.org/officeDocument/2006/relationships/image" Target="../media/image9.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17</xdr:col>
      <xdr:colOff>628650</xdr:colOff>
      <xdr:row>13</xdr:row>
      <xdr:rowOff>171450</xdr:rowOff>
    </xdr:to>
    <xdr:pic>
      <xdr:nvPicPr>
        <xdr:cNvPr id="7" name="ID_2BB669EB0C534A04865F590A31D338B7"/>
        <xdr:cNvPicPr>
          <a:picLocks noChangeAspect="1"/>
        </xdr:cNvPicPr>
      </xdr:nvPicPr>
      <xdr:blipFill>
        <a:blip r:embed="rId1"/>
        <a:stretch>
          <a:fillRect/>
        </a:stretch>
      </xdr:blipFill>
      <xdr:spPr>
        <a:xfrm>
          <a:off x="23265765" y="974725"/>
          <a:ext cx="12287250" cy="2524125"/>
        </a:xfrm>
        <a:prstGeom prst="rect">
          <a:avLst/>
        </a:prstGeom>
        <a:noFill/>
        <a:ln w="9525">
          <a:noFill/>
        </a:ln>
      </xdr:spPr>
    </xdr:pic>
    <xdr:clientData/>
  </xdr:twoCellAnchor>
  <xdr:twoCellAnchor editAs="oneCell">
    <xdr:from>
      <xdr:col>0</xdr:col>
      <xdr:colOff>0</xdr:colOff>
      <xdr:row>0</xdr:row>
      <xdr:rowOff>0</xdr:rowOff>
    </xdr:from>
    <xdr:to>
      <xdr:col>3</xdr:col>
      <xdr:colOff>647700</xdr:colOff>
      <xdr:row>12</xdr:row>
      <xdr:rowOff>91440</xdr:rowOff>
    </xdr:to>
    <xdr:pic>
      <xdr:nvPicPr>
        <xdr:cNvPr id="8" name="ID_7719646BFA97430A8D3BA5070931CE08"/>
        <xdr:cNvPicPr>
          <a:picLocks noChangeAspect="1"/>
        </xdr:cNvPicPr>
      </xdr:nvPicPr>
      <xdr:blipFill>
        <a:blip r:embed="rId2" r:link="rId3"/>
        <a:stretch>
          <a:fillRect/>
        </a:stretch>
      </xdr:blipFill>
      <xdr:spPr>
        <a:xfrm>
          <a:off x="23249255" y="4351020"/>
          <a:ext cx="2705100" cy="2263140"/>
        </a:xfrm>
        <a:prstGeom prst="rect">
          <a:avLst/>
        </a:prstGeom>
        <a:noFill/>
        <a:ln>
          <a:noFill/>
        </a:ln>
      </xdr:spPr>
    </xdr:pic>
    <xdr:clientData/>
  </xdr:twoCellAnchor>
  <xdr:twoCellAnchor editAs="oneCell">
    <xdr:from>
      <xdr:col>0</xdr:col>
      <xdr:colOff>0</xdr:colOff>
      <xdr:row>0</xdr:row>
      <xdr:rowOff>0</xdr:rowOff>
    </xdr:from>
    <xdr:to>
      <xdr:col>11</xdr:col>
      <xdr:colOff>323850</xdr:colOff>
      <xdr:row>5</xdr:row>
      <xdr:rowOff>38100</xdr:rowOff>
    </xdr:to>
    <xdr:pic>
      <xdr:nvPicPr>
        <xdr:cNvPr id="2" name="ID_B5A44D0C81C142588175D166A5C4362F"/>
        <xdr:cNvPicPr>
          <a:picLocks noChangeAspect="1"/>
        </xdr:cNvPicPr>
      </xdr:nvPicPr>
      <xdr:blipFill>
        <a:blip r:embed="rId4"/>
        <a:stretch>
          <a:fillRect/>
        </a:stretch>
      </xdr:blipFill>
      <xdr:spPr>
        <a:xfrm>
          <a:off x="23832185" y="6586855"/>
          <a:ext cx="7867650" cy="942975"/>
        </a:xfrm>
        <a:prstGeom prst="rect">
          <a:avLst/>
        </a:prstGeom>
        <a:noFill/>
        <a:ln w="9525">
          <a:noFill/>
        </a:ln>
      </xdr:spPr>
    </xdr:pic>
    <xdr:clientData/>
  </xdr:twoCellAnchor>
  <xdr:twoCellAnchor editAs="oneCell">
    <xdr:from>
      <xdr:col>0</xdr:col>
      <xdr:colOff>0</xdr:colOff>
      <xdr:row>0</xdr:row>
      <xdr:rowOff>0</xdr:rowOff>
    </xdr:from>
    <xdr:to>
      <xdr:col>17</xdr:col>
      <xdr:colOff>638175</xdr:colOff>
      <xdr:row>13</xdr:row>
      <xdr:rowOff>142875</xdr:rowOff>
    </xdr:to>
    <xdr:pic>
      <xdr:nvPicPr>
        <xdr:cNvPr id="3" name="ID_F7E9C7541FC048059E711DF721C9A92C"/>
        <xdr:cNvPicPr>
          <a:picLocks noChangeAspect="1"/>
        </xdr:cNvPicPr>
      </xdr:nvPicPr>
      <xdr:blipFill>
        <a:blip r:embed="rId5"/>
        <a:stretch>
          <a:fillRect/>
        </a:stretch>
      </xdr:blipFill>
      <xdr:spPr>
        <a:xfrm>
          <a:off x="20647660" y="1684020"/>
          <a:ext cx="12296775" cy="2495550"/>
        </a:xfrm>
        <a:prstGeom prst="rect">
          <a:avLst/>
        </a:prstGeom>
        <a:noFill/>
        <a:ln w="9525">
          <a:noFill/>
        </a:ln>
      </xdr:spPr>
    </xdr:pic>
    <xdr:clientData/>
  </xdr:twoCellAnchor>
  <xdr:twoCellAnchor editAs="oneCell">
    <xdr:from>
      <xdr:col>0</xdr:col>
      <xdr:colOff>0</xdr:colOff>
      <xdr:row>0</xdr:row>
      <xdr:rowOff>0</xdr:rowOff>
    </xdr:from>
    <xdr:to>
      <xdr:col>18</xdr:col>
      <xdr:colOff>161925</xdr:colOff>
      <xdr:row>14</xdr:row>
      <xdr:rowOff>0</xdr:rowOff>
    </xdr:to>
    <xdr:pic>
      <xdr:nvPicPr>
        <xdr:cNvPr id="4" name="ID_78CECC7A8E114B73A8B0C41FAC1339FE"/>
        <xdr:cNvPicPr>
          <a:picLocks noChangeAspect="1"/>
        </xdr:cNvPicPr>
      </xdr:nvPicPr>
      <xdr:blipFill>
        <a:blip r:embed="rId6"/>
        <a:stretch>
          <a:fillRect/>
        </a:stretch>
      </xdr:blipFill>
      <xdr:spPr>
        <a:xfrm>
          <a:off x="20647660" y="2446020"/>
          <a:ext cx="12506325" cy="2533650"/>
        </a:xfrm>
        <a:prstGeom prst="rect">
          <a:avLst/>
        </a:prstGeom>
        <a:noFill/>
        <a:ln w="9525">
          <a:noFill/>
        </a:ln>
      </xdr:spPr>
    </xdr:pic>
    <xdr:clientData/>
  </xdr:twoCellAnchor>
  <xdr:twoCellAnchor editAs="oneCell">
    <xdr:from>
      <xdr:col>0</xdr:col>
      <xdr:colOff>0</xdr:colOff>
      <xdr:row>0</xdr:row>
      <xdr:rowOff>0</xdr:rowOff>
    </xdr:from>
    <xdr:to>
      <xdr:col>18</xdr:col>
      <xdr:colOff>295275</xdr:colOff>
      <xdr:row>14</xdr:row>
      <xdr:rowOff>9525</xdr:rowOff>
    </xdr:to>
    <xdr:pic>
      <xdr:nvPicPr>
        <xdr:cNvPr id="5" name="ID_9B717E3E63D34BCD946069261F1DCCB3"/>
        <xdr:cNvPicPr>
          <a:picLocks noChangeAspect="1"/>
        </xdr:cNvPicPr>
      </xdr:nvPicPr>
      <xdr:blipFill>
        <a:blip r:embed="rId7"/>
        <a:stretch>
          <a:fillRect/>
        </a:stretch>
      </xdr:blipFill>
      <xdr:spPr>
        <a:xfrm>
          <a:off x="20647660" y="3208020"/>
          <a:ext cx="12639675" cy="2543175"/>
        </a:xfrm>
        <a:prstGeom prst="rect">
          <a:avLst/>
        </a:prstGeom>
        <a:noFill/>
        <a:ln w="9525">
          <a:noFill/>
        </a:ln>
      </xdr:spPr>
    </xdr:pic>
    <xdr:clientData/>
  </xdr:twoCellAnchor>
  <xdr:twoCellAnchor editAs="oneCell">
    <xdr:from>
      <xdr:col>0</xdr:col>
      <xdr:colOff>0</xdr:colOff>
      <xdr:row>0</xdr:row>
      <xdr:rowOff>0</xdr:rowOff>
    </xdr:from>
    <xdr:to>
      <xdr:col>18</xdr:col>
      <xdr:colOff>152400</xdr:colOff>
      <xdr:row>16</xdr:row>
      <xdr:rowOff>76200</xdr:rowOff>
    </xdr:to>
    <xdr:pic>
      <xdr:nvPicPr>
        <xdr:cNvPr id="9" name="ID_30C636CB88B84079BE060BFCD26F99EB"/>
        <xdr:cNvPicPr>
          <a:picLocks noChangeAspect="1"/>
        </xdr:cNvPicPr>
      </xdr:nvPicPr>
      <xdr:blipFill>
        <a:blip r:embed="rId8"/>
        <a:stretch>
          <a:fillRect/>
        </a:stretch>
      </xdr:blipFill>
      <xdr:spPr>
        <a:xfrm>
          <a:off x="13330555" y="3589020"/>
          <a:ext cx="12496800" cy="2971800"/>
        </a:xfrm>
        <a:prstGeom prst="rect">
          <a:avLst/>
        </a:prstGeom>
        <a:noFill/>
        <a:ln w="9525">
          <a:noFill/>
        </a:ln>
      </xdr:spPr>
    </xdr:pic>
    <xdr:clientData/>
  </xdr:twoCellAnchor>
  <xdr:twoCellAnchor editAs="oneCell">
    <xdr:from>
      <xdr:col>0</xdr:col>
      <xdr:colOff>0</xdr:colOff>
      <xdr:row>0</xdr:row>
      <xdr:rowOff>0</xdr:rowOff>
    </xdr:from>
    <xdr:to>
      <xdr:col>18</xdr:col>
      <xdr:colOff>161925</xdr:colOff>
      <xdr:row>16</xdr:row>
      <xdr:rowOff>57150</xdr:rowOff>
    </xdr:to>
    <xdr:pic>
      <xdr:nvPicPr>
        <xdr:cNvPr id="10" name="ID_5C5E13FF94344CB39C8DB1E59894CF6A"/>
        <xdr:cNvPicPr>
          <a:picLocks noChangeAspect="1"/>
        </xdr:cNvPicPr>
      </xdr:nvPicPr>
      <xdr:blipFill>
        <a:blip r:embed="rId9"/>
        <a:stretch>
          <a:fillRect/>
        </a:stretch>
      </xdr:blipFill>
      <xdr:spPr>
        <a:xfrm>
          <a:off x="13330555" y="3970020"/>
          <a:ext cx="12506325" cy="2952750"/>
        </a:xfrm>
        <a:prstGeom prst="rect">
          <a:avLst/>
        </a:prstGeom>
        <a:noFill/>
        <a:ln w="9525">
          <a:noFill/>
        </a:ln>
      </xdr:spPr>
    </xdr:pic>
    <xdr:clientData/>
  </xdr:twoCellAnchor>
  <xdr:twoCellAnchor editAs="oneCell">
    <xdr:from>
      <xdr:col>0</xdr:col>
      <xdr:colOff>0</xdr:colOff>
      <xdr:row>0</xdr:row>
      <xdr:rowOff>0</xdr:rowOff>
    </xdr:from>
    <xdr:to>
      <xdr:col>18</xdr:col>
      <xdr:colOff>323850</xdr:colOff>
      <xdr:row>17</xdr:row>
      <xdr:rowOff>66675</xdr:rowOff>
    </xdr:to>
    <xdr:pic>
      <xdr:nvPicPr>
        <xdr:cNvPr id="11" name="ID_B80ABBAA94BF4E1B8EDFA2B4FEEED450"/>
        <xdr:cNvPicPr>
          <a:picLocks noChangeAspect="1"/>
        </xdr:cNvPicPr>
      </xdr:nvPicPr>
      <xdr:blipFill>
        <a:blip r:embed="rId10"/>
        <a:stretch>
          <a:fillRect/>
        </a:stretch>
      </xdr:blipFill>
      <xdr:spPr>
        <a:xfrm>
          <a:off x="13330555" y="4351020"/>
          <a:ext cx="12668250" cy="3143250"/>
        </a:xfrm>
        <a:prstGeom prst="rect">
          <a:avLst/>
        </a:prstGeom>
        <a:noFill/>
        <a:ln w="9525">
          <a:noFill/>
        </a:ln>
      </xdr:spPr>
    </xdr:pic>
    <xdr:clientData/>
  </xdr:twoCellAnchor>
  <xdr:twoCellAnchor editAs="oneCell">
    <xdr:from>
      <xdr:col>0</xdr:col>
      <xdr:colOff>0</xdr:colOff>
      <xdr:row>0</xdr:row>
      <xdr:rowOff>0</xdr:rowOff>
    </xdr:from>
    <xdr:to>
      <xdr:col>18</xdr:col>
      <xdr:colOff>95250</xdr:colOff>
      <xdr:row>16</xdr:row>
      <xdr:rowOff>47625</xdr:rowOff>
    </xdr:to>
    <xdr:pic>
      <xdr:nvPicPr>
        <xdr:cNvPr id="12" name="ID_C306D3B252CD43DBB44FB8F714185D77"/>
        <xdr:cNvPicPr>
          <a:picLocks noChangeAspect="1"/>
        </xdr:cNvPicPr>
      </xdr:nvPicPr>
      <xdr:blipFill>
        <a:blip r:embed="rId11"/>
        <a:stretch>
          <a:fillRect/>
        </a:stretch>
      </xdr:blipFill>
      <xdr:spPr>
        <a:xfrm>
          <a:off x="13330555" y="4732020"/>
          <a:ext cx="12439650" cy="2943225"/>
        </a:xfrm>
        <a:prstGeom prst="rect">
          <a:avLst/>
        </a:prstGeom>
        <a:noFill/>
        <a:ln w="9525">
          <a:noFill/>
        </a:ln>
      </xdr:spPr>
    </xdr:pic>
    <xdr:clientData/>
  </xdr:twoCellAnchor>
  <xdr:twoCellAnchor editAs="oneCell">
    <xdr:from>
      <xdr:col>0</xdr:col>
      <xdr:colOff>0</xdr:colOff>
      <xdr:row>0</xdr:row>
      <xdr:rowOff>0</xdr:rowOff>
    </xdr:from>
    <xdr:to>
      <xdr:col>18</xdr:col>
      <xdr:colOff>276225</xdr:colOff>
      <xdr:row>16</xdr:row>
      <xdr:rowOff>142875</xdr:rowOff>
    </xdr:to>
    <xdr:pic>
      <xdr:nvPicPr>
        <xdr:cNvPr id="13" name="ID_D7DF84CC582E48AF9E2DAD7793756353"/>
        <xdr:cNvPicPr>
          <a:picLocks noChangeAspect="1"/>
        </xdr:cNvPicPr>
      </xdr:nvPicPr>
      <xdr:blipFill>
        <a:blip r:embed="rId12"/>
        <a:stretch>
          <a:fillRect/>
        </a:stretch>
      </xdr:blipFill>
      <xdr:spPr>
        <a:xfrm>
          <a:off x="13330555" y="5113020"/>
          <a:ext cx="12620625" cy="3038475"/>
        </a:xfrm>
        <a:prstGeom prst="rect">
          <a:avLst/>
        </a:prstGeom>
        <a:noFill/>
        <a:ln w="9525">
          <a:noFill/>
        </a:ln>
      </xdr:spPr>
    </xdr:pic>
    <xdr:clientData/>
  </xdr:twoCellAnchor>
  <xdr:twoCellAnchor editAs="oneCell">
    <xdr:from>
      <xdr:col>0</xdr:col>
      <xdr:colOff>0</xdr:colOff>
      <xdr:row>0</xdr:row>
      <xdr:rowOff>0</xdr:rowOff>
    </xdr:from>
    <xdr:to>
      <xdr:col>12</xdr:col>
      <xdr:colOff>95250</xdr:colOff>
      <xdr:row>17</xdr:row>
      <xdr:rowOff>9525</xdr:rowOff>
    </xdr:to>
    <xdr:pic>
      <xdr:nvPicPr>
        <xdr:cNvPr id="283" name="ID_33D5BC4ED36B419DAB146DA97AB9F119"/>
        <xdr:cNvPicPr>
          <a:picLocks noChangeAspect="1"/>
        </xdr:cNvPicPr>
      </xdr:nvPicPr>
      <xdr:blipFill>
        <a:blip r:embed="rId13"/>
        <a:stretch>
          <a:fillRect/>
        </a:stretch>
      </xdr:blipFill>
      <xdr:spPr>
        <a:xfrm>
          <a:off x="13330555" y="23933785"/>
          <a:ext cx="8324850" cy="3086100"/>
        </a:xfrm>
        <a:prstGeom prst="rect">
          <a:avLst/>
        </a:prstGeom>
        <a:noFill/>
        <a:ln w="9525">
          <a:noFill/>
        </a:ln>
      </xdr:spPr>
    </xdr:pic>
    <xdr:clientData/>
  </xdr:twoCellAnchor>
  <xdr:twoCellAnchor editAs="oneCell">
    <xdr:from>
      <xdr:col>0</xdr:col>
      <xdr:colOff>0</xdr:colOff>
      <xdr:row>0</xdr:row>
      <xdr:rowOff>0</xdr:rowOff>
    </xdr:from>
    <xdr:to>
      <xdr:col>12</xdr:col>
      <xdr:colOff>152400</xdr:colOff>
      <xdr:row>16</xdr:row>
      <xdr:rowOff>104775</xdr:rowOff>
    </xdr:to>
    <xdr:pic>
      <xdr:nvPicPr>
        <xdr:cNvPr id="284" name="ID_6B394114864A41BDACD48FA3119B5D89"/>
        <xdr:cNvPicPr>
          <a:picLocks noChangeAspect="1"/>
        </xdr:cNvPicPr>
      </xdr:nvPicPr>
      <xdr:blipFill>
        <a:blip r:embed="rId14"/>
        <a:stretch>
          <a:fillRect/>
        </a:stretch>
      </xdr:blipFill>
      <xdr:spPr>
        <a:xfrm>
          <a:off x="13330555" y="34830385"/>
          <a:ext cx="8382000" cy="3000375"/>
        </a:xfrm>
        <a:prstGeom prst="rect">
          <a:avLst/>
        </a:prstGeom>
        <a:noFill/>
        <a:ln w="9525">
          <a:noFill/>
        </a:ln>
      </xdr:spPr>
    </xdr:pic>
    <xdr:clientData/>
  </xdr:twoCellAnchor>
  <xdr:twoCellAnchor editAs="oneCell">
    <xdr:from>
      <xdr:col>0</xdr:col>
      <xdr:colOff>0</xdr:colOff>
      <xdr:row>0</xdr:row>
      <xdr:rowOff>0</xdr:rowOff>
    </xdr:from>
    <xdr:to>
      <xdr:col>12</xdr:col>
      <xdr:colOff>95250</xdr:colOff>
      <xdr:row>16</xdr:row>
      <xdr:rowOff>133350</xdr:rowOff>
    </xdr:to>
    <xdr:pic>
      <xdr:nvPicPr>
        <xdr:cNvPr id="286" name="ID_B3F1C7BB6C694F36AEC89BFA5114CE12"/>
        <xdr:cNvPicPr>
          <a:picLocks noChangeAspect="1"/>
        </xdr:cNvPicPr>
      </xdr:nvPicPr>
      <xdr:blipFill>
        <a:blip r:embed="rId15"/>
        <a:stretch>
          <a:fillRect/>
        </a:stretch>
      </xdr:blipFill>
      <xdr:spPr>
        <a:xfrm>
          <a:off x="13702030" y="15637510"/>
          <a:ext cx="8324850" cy="3028950"/>
        </a:xfrm>
        <a:prstGeom prst="rect">
          <a:avLst/>
        </a:prstGeom>
        <a:noFill/>
        <a:ln w="9525">
          <a:noFill/>
        </a:ln>
      </xdr:spPr>
    </xdr:pic>
    <xdr:clientData/>
  </xdr:twoCellAnchor>
  <xdr:twoCellAnchor editAs="oneCell">
    <xdr:from>
      <xdr:col>0</xdr:col>
      <xdr:colOff>0</xdr:colOff>
      <xdr:row>0</xdr:row>
      <xdr:rowOff>0</xdr:rowOff>
    </xdr:from>
    <xdr:to>
      <xdr:col>12</xdr:col>
      <xdr:colOff>200025</xdr:colOff>
      <xdr:row>16</xdr:row>
      <xdr:rowOff>95250</xdr:rowOff>
    </xdr:to>
    <xdr:pic>
      <xdr:nvPicPr>
        <xdr:cNvPr id="287" name="ID_583856CF03664CF9AFDFA08174ABBC5C"/>
        <xdr:cNvPicPr>
          <a:picLocks noChangeAspect="1"/>
        </xdr:cNvPicPr>
      </xdr:nvPicPr>
      <xdr:blipFill>
        <a:blip r:embed="rId16"/>
        <a:stretch>
          <a:fillRect/>
        </a:stretch>
      </xdr:blipFill>
      <xdr:spPr>
        <a:xfrm>
          <a:off x="13578205" y="25248235"/>
          <a:ext cx="8429625" cy="2990850"/>
        </a:xfrm>
        <a:prstGeom prst="rect">
          <a:avLst/>
        </a:prstGeom>
        <a:noFill/>
        <a:ln w="9525">
          <a:noFill/>
        </a:ln>
      </xdr:spPr>
    </xdr:pic>
    <xdr:clientData/>
  </xdr:twoCellAnchor>
  <xdr:twoCellAnchor editAs="oneCell">
    <xdr:from>
      <xdr:col>0</xdr:col>
      <xdr:colOff>0</xdr:colOff>
      <xdr:row>0</xdr:row>
      <xdr:rowOff>0</xdr:rowOff>
    </xdr:from>
    <xdr:to>
      <xdr:col>12</xdr:col>
      <xdr:colOff>200025</xdr:colOff>
      <xdr:row>16</xdr:row>
      <xdr:rowOff>161925</xdr:rowOff>
    </xdr:to>
    <xdr:pic>
      <xdr:nvPicPr>
        <xdr:cNvPr id="289" name="ID_9E170A2EC6BF40339F21504BC5B5D423"/>
        <xdr:cNvPicPr>
          <a:picLocks noChangeAspect="1"/>
        </xdr:cNvPicPr>
      </xdr:nvPicPr>
      <xdr:blipFill>
        <a:blip r:embed="rId17"/>
        <a:stretch>
          <a:fillRect/>
        </a:stretch>
      </xdr:blipFill>
      <xdr:spPr>
        <a:xfrm>
          <a:off x="13330555" y="25610185"/>
          <a:ext cx="8429625" cy="3057525"/>
        </a:xfrm>
        <a:prstGeom prst="rect">
          <a:avLst/>
        </a:prstGeom>
        <a:noFill/>
        <a:ln w="9525">
          <a:noFill/>
        </a:ln>
      </xdr:spPr>
    </xdr:pic>
    <xdr:clientData/>
  </xdr:twoCellAnchor>
  <xdr:twoCellAnchor editAs="oneCell">
    <xdr:from>
      <xdr:col>0</xdr:col>
      <xdr:colOff>0</xdr:colOff>
      <xdr:row>0</xdr:row>
      <xdr:rowOff>0</xdr:rowOff>
    </xdr:from>
    <xdr:to>
      <xdr:col>12</xdr:col>
      <xdr:colOff>123825</xdr:colOff>
      <xdr:row>10</xdr:row>
      <xdr:rowOff>95250</xdr:rowOff>
    </xdr:to>
    <xdr:pic>
      <xdr:nvPicPr>
        <xdr:cNvPr id="290" name="ID_DF92BACDB1444A09A2249D786953E992"/>
        <xdr:cNvPicPr>
          <a:picLocks noChangeAspect="1"/>
        </xdr:cNvPicPr>
      </xdr:nvPicPr>
      <xdr:blipFill>
        <a:blip r:embed="rId18"/>
        <a:stretch>
          <a:fillRect/>
        </a:stretch>
      </xdr:blipFill>
      <xdr:spPr>
        <a:xfrm>
          <a:off x="13330555" y="26448385"/>
          <a:ext cx="8353425" cy="1905000"/>
        </a:xfrm>
        <a:prstGeom prst="rect">
          <a:avLst/>
        </a:prstGeom>
        <a:noFill/>
        <a:ln w="9525">
          <a:noFill/>
        </a:ln>
      </xdr:spPr>
    </xdr:pic>
    <xdr:clientData/>
  </xdr:twoCellAnchor>
  <xdr:twoCellAnchor editAs="oneCell">
    <xdr:from>
      <xdr:col>0</xdr:col>
      <xdr:colOff>0</xdr:colOff>
      <xdr:row>0</xdr:row>
      <xdr:rowOff>0</xdr:rowOff>
    </xdr:from>
    <xdr:to>
      <xdr:col>12</xdr:col>
      <xdr:colOff>85725</xdr:colOff>
      <xdr:row>16</xdr:row>
      <xdr:rowOff>133350</xdr:rowOff>
    </xdr:to>
    <xdr:pic>
      <xdr:nvPicPr>
        <xdr:cNvPr id="292" name="ID_239F58837FE548A79499FF7B91D8256D"/>
        <xdr:cNvPicPr>
          <a:picLocks noChangeAspect="1"/>
        </xdr:cNvPicPr>
      </xdr:nvPicPr>
      <xdr:blipFill>
        <a:blip r:embed="rId19"/>
        <a:stretch>
          <a:fillRect/>
        </a:stretch>
      </xdr:blipFill>
      <xdr:spPr>
        <a:xfrm>
          <a:off x="13597255" y="16456660"/>
          <a:ext cx="8315325" cy="3028950"/>
        </a:xfrm>
        <a:prstGeom prst="rect">
          <a:avLst/>
        </a:prstGeom>
        <a:noFill/>
        <a:ln w="9525">
          <a:noFill/>
        </a:ln>
      </xdr:spPr>
    </xdr:pic>
    <xdr:clientData/>
  </xdr:twoCellAnchor>
  <xdr:twoCellAnchor editAs="oneCell">
    <xdr:from>
      <xdr:col>0</xdr:col>
      <xdr:colOff>0</xdr:colOff>
      <xdr:row>0</xdr:row>
      <xdr:rowOff>0</xdr:rowOff>
    </xdr:from>
    <xdr:to>
      <xdr:col>12</xdr:col>
      <xdr:colOff>133350</xdr:colOff>
      <xdr:row>16</xdr:row>
      <xdr:rowOff>104775</xdr:rowOff>
    </xdr:to>
    <xdr:pic>
      <xdr:nvPicPr>
        <xdr:cNvPr id="295" name="ID_8EC2BDC6D9E4477C9210190BAD7216CB"/>
        <xdr:cNvPicPr>
          <a:picLocks noChangeAspect="1"/>
        </xdr:cNvPicPr>
      </xdr:nvPicPr>
      <xdr:blipFill>
        <a:blip r:embed="rId20"/>
        <a:stretch>
          <a:fillRect/>
        </a:stretch>
      </xdr:blipFill>
      <xdr:spPr>
        <a:xfrm>
          <a:off x="13606780" y="17304385"/>
          <a:ext cx="8362950" cy="3000375"/>
        </a:xfrm>
        <a:prstGeom prst="rect">
          <a:avLst/>
        </a:prstGeom>
        <a:noFill/>
        <a:ln w="9525">
          <a:noFill/>
        </a:ln>
      </xdr:spPr>
    </xdr:pic>
    <xdr:clientData/>
  </xdr:twoCellAnchor>
  <xdr:twoCellAnchor editAs="oneCell">
    <xdr:from>
      <xdr:col>0</xdr:col>
      <xdr:colOff>0</xdr:colOff>
      <xdr:row>0</xdr:row>
      <xdr:rowOff>0</xdr:rowOff>
    </xdr:from>
    <xdr:to>
      <xdr:col>12</xdr:col>
      <xdr:colOff>180975</xdr:colOff>
      <xdr:row>16</xdr:row>
      <xdr:rowOff>152400</xdr:rowOff>
    </xdr:to>
    <xdr:pic>
      <xdr:nvPicPr>
        <xdr:cNvPr id="296" name="ID_4B19E2B33E1E4EA890E1B2AB6305601E"/>
        <xdr:cNvPicPr>
          <a:picLocks noChangeAspect="1"/>
        </xdr:cNvPicPr>
      </xdr:nvPicPr>
      <xdr:blipFill>
        <a:blip r:embed="rId21"/>
        <a:stretch>
          <a:fillRect/>
        </a:stretch>
      </xdr:blipFill>
      <xdr:spPr>
        <a:xfrm>
          <a:off x="13330555" y="26867485"/>
          <a:ext cx="8410575" cy="3048000"/>
        </a:xfrm>
        <a:prstGeom prst="rect">
          <a:avLst/>
        </a:prstGeom>
        <a:noFill/>
        <a:ln w="9525">
          <a:noFill/>
        </a:ln>
      </xdr:spPr>
    </xdr:pic>
    <xdr:clientData/>
  </xdr:twoCellAnchor>
  <xdr:twoCellAnchor editAs="oneCell">
    <xdr:from>
      <xdr:col>0</xdr:col>
      <xdr:colOff>0</xdr:colOff>
      <xdr:row>0</xdr:row>
      <xdr:rowOff>0</xdr:rowOff>
    </xdr:from>
    <xdr:to>
      <xdr:col>12</xdr:col>
      <xdr:colOff>114300</xdr:colOff>
      <xdr:row>7</xdr:row>
      <xdr:rowOff>95250</xdr:rowOff>
    </xdr:to>
    <xdr:pic>
      <xdr:nvPicPr>
        <xdr:cNvPr id="297" name="ID_B0E983FFD1EE4DE2892DC721D8B7038C"/>
        <xdr:cNvPicPr>
          <a:picLocks noChangeAspect="1"/>
        </xdr:cNvPicPr>
      </xdr:nvPicPr>
      <xdr:blipFill>
        <a:blip r:embed="rId22"/>
        <a:stretch>
          <a:fillRect/>
        </a:stretch>
      </xdr:blipFill>
      <xdr:spPr>
        <a:xfrm>
          <a:off x="13730605" y="18123535"/>
          <a:ext cx="8343900" cy="1362075"/>
        </a:xfrm>
        <a:prstGeom prst="rect">
          <a:avLst/>
        </a:prstGeom>
        <a:noFill/>
        <a:ln w="9525">
          <a:noFill/>
        </a:ln>
      </xdr:spPr>
    </xdr:pic>
    <xdr:clientData/>
  </xdr:twoCellAnchor>
  <xdr:twoCellAnchor editAs="oneCell">
    <xdr:from>
      <xdr:col>0</xdr:col>
      <xdr:colOff>0</xdr:colOff>
      <xdr:row>0</xdr:row>
      <xdr:rowOff>0</xdr:rowOff>
    </xdr:from>
    <xdr:to>
      <xdr:col>12</xdr:col>
      <xdr:colOff>171450</xdr:colOff>
      <xdr:row>16</xdr:row>
      <xdr:rowOff>133350</xdr:rowOff>
    </xdr:to>
    <xdr:pic>
      <xdr:nvPicPr>
        <xdr:cNvPr id="298" name="ID_73C091E519B04E39987BEC09D843D0A0"/>
        <xdr:cNvPicPr>
          <a:picLocks noChangeAspect="1"/>
        </xdr:cNvPicPr>
      </xdr:nvPicPr>
      <xdr:blipFill>
        <a:blip r:embed="rId23"/>
        <a:stretch>
          <a:fillRect/>
        </a:stretch>
      </xdr:blipFill>
      <xdr:spPr>
        <a:xfrm>
          <a:off x="13330555" y="27705685"/>
          <a:ext cx="8401050" cy="3028950"/>
        </a:xfrm>
        <a:prstGeom prst="rect">
          <a:avLst/>
        </a:prstGeom>
        <a:noFill/>
        <a:ln w="9525">
          <a:noFill/>
        </a:ln>
      </xdr:spPr>
    </xdr:pic>
    <xdr:clientData/>
  </xdr:twoCellAnchor>
  <xdr:twoCellAnchor editAs="oneCell">
    <xdr:from>
      <xdr:col>0</xdr:col>
      <xdr:colOff>0</xdr:colOff>
      <xdr:row>0</xdr:row>
      <xdr:rowOff>0</xdr:rowOff>
    </xdr:from>
    <xdr:to>
      <xdr:col>12</xdr:col>
      <xdr:colOff>238125</xdr:colOff>
      <xdr:row>16</xdr:row>
      <xdr:rowOff>152400</xdr:rowOff>
    </xdr:to>
    <xdr:pic>
      <xdr:nvPicPr>
        <xdr:cNvPr id="299" name="ID_70675633EA28424DBFA7AD363DECEEFD"/>
        <xdr:cNvPicPr>
          <a:picLocks noChangeAspect="1"/>
        </xdr:cNvPicPr>
      </xdr:nvPicPr>
      <xdr:blipFill>
        <a:blip r:embed="rId24"/>
        <a:stretch>
          <a:fillRect/>
        </a:stretch>
      </xdr:blipFill>
      <xdr:spPr>
        <a:xfrm>
          <a:off x="13330555" y="37764085"/>
          <a:ext cx="8467725" cy="3048000"/>
        </a:xfrm>
        <a:prstGeom prst="rect">
          <a:avLst/>
        </a:prstGeom>
        <a:noFill/>
        <a:ln w="9525">
          <a:noFill/>
        </a:ln>
      </xdr:spPr>
    </xdr:pic>
    <xdr:clientData/>
  </xdr:twoCellAnchor>
  <xdr:twoCellAnchor editAs="oneCell">
    <xdr:from>
      <xdr:col>0</xdr:col>
      <xdr:colOff>0</xdr:colOff>
      <xdr:row>0</xdr:row>
      <xdr:rowOff>0</xdr:rowOff>
    </xdr:from>
    <xdr:to>
      <xdr:col>12</xdr:col>
      <xdr:colOff>190500</xdr:colOff>
      <xdr:row>16</xdr:row>
      <xdr:rowOff>133350</xdr:rowOff>
    </xdr:to>
    <xdr:pic>
      <xdr:nvPicPr>
        <xdr:cNvPr id="302" name="ID_F2E37CF70055486381DAA4A53B2E5F01"/>
        <xdr:cNvPicPr>
          <a:picLocks noChangeAspect="1"/>
        </xdr:cNvPicPr>
      </xdr:nvPicPr>
      <xdr:blipFill>
        <a:blip r:embed="rId25"/>
        <a:stretch>
          <a:fillRect/>
        </a:stretch>
      </xdr:blipFill>
      <xdr:spPr>
        <a:xfrm>
          <a:off x="13330555" y="28124785"/>
          <a:ext cx="8420100" cy="3028950"/>
        </a:xfrm>
        <a:prstGeom prst="rect">
          <a:avLst/>
        </a:prstGeom>
        <a:noFill/>
        <a:ln w="9525">
          <a:noFill/>
        </a:ln>
      </xdr:spPr>
    </xdr:pic>
    <xdr:clientData/>
  </xdr:twoCellAnchor>
  <xdr:twoCellAnchor editAs="oneCell">
    <xdr:from>
      <xdr:col>0</xdr:col>
      <xdr:colOff>0</xdr:colOff>
      <xdr:row>0</xdr:row>
      <xdr:rowOff>0</xdr:rowOff>
    </xdr:from>
    <xdr:to>
      <xdr:col>12</xdr:col>
      <xdr:colOff>85725</xdr:colOff>
      <xdr:row>16</xdr:row>
      <xdr:rowOff>123825</xdr:rowOff>
    </xdr:to>
    <xdr:pic>
      <xdr:nvPicPr>
        <xdr:cNvPr id="304" name="ID_8B59010070E54A868D6F6934F0518868"/>
        <xdr:cNvPicPr>
          <a:picLocks noChangeAspect="1"/>
        </xdr:cNvPicPr>
      </xdr:nvPicPr>
      <xdr:blipFill>
        <a:blip r:embed="rId26"/>
        <a:stretch>
          <a:fillRect/>
        </a:stretch>
      </xdr:blipFill>
      <xdr:spPr>
        <a:xfrm>
          <a:off x="13702030" y="14723110"/>
          <a:ext cx="8315325" cy="3019425"/>
        </a:xfrm>
        <a:prstGeom prst="rect">
          <a:avLst/>
        </a:prstGeom>
        <a:noFill/>
        <a:ln w="9525">
          <a:noFill/>
        </a:ln>
      </xdr:spPr>
    </xdr:pic>
    <xdr:clientData/>
  </xdr:twoCellAnchor>
  <xdr:twoCellAnchor editAs="oneCell">
    <xdr:from>
      <xdr:col>0</xdr:col>
      <xdr:colOff>0</xdr:colOff>
      <xdr:row>0</xdr:row>
      <xdr:rowOff>0</xdr:rowOff>
    </xdr:from>
    <xdr:to>
      <xdr:col>12</xdr:col>
      <xdr:colOff>123825</xdr:colOff>
      <xdr:row>16</xdr:row>
      <xdr:rowOff>133350</xdr:rowOff>
    </xdr:to>
    <xdr:pic>
      <xdr:nvPicPr>
        <xdr:cNvPr id="305" name="ID_9611CDB3EEE44D6CBE80E2F5AB135283"/>
        <xdr:cNvPicPr>
          <a:picLocks noChangeAspect="1"/>
        </xdr:cNvPicPr>
      </xdr:nvPicPr>
      <xdr:blipFill>
        <a:blip r:embed="rId27"/>
        <a:stretch>
          <a:fillRect/>
        </a:stretch>
      </xdr:blipFill>
      <xdr:spPr>
        <a:xfrm>
          <a:off x="13511530" y="24381460"/>
          <a:ext cx="8353425" cy="3028950"/>
        </a:xfrm>
        <a:prstGeom prst="rect">
          <a:avLst/>
        </a:prstGeom>
        <a:noFill/>
        <a:ln w="9525">
          <a:noFill/>
        </a:ln>
      </xdr:spPr>
    </xdr:pic>
    <xdr:clientData/>
  </xdr:twoCellAnchor>
  <xdr:twoCellAnchor editAs="oneCell">
    <xdr:from>
      <xdr:col>0</xdr:col>
      <xdr:colOff>0</xdr:colOff>
      <xdr:row>0</xdr:row>
      <xdr:rowOff>0</xdr:rowOff>
    </xdr:from>
    <xdr:to>
      <xdr:col>18</xdr:col>
      <xdr:colOff>304800</xdr:colOff>
      <xdr:row>16</xdr:row>
      <xdr:rowOff>142875</xdr:rowOff>
    </xdr:to>
    <xdr:pic>
      <xdr:nvPicPr>
        <xdr:cNvPr id="307" name="ID_90F107A466E94306B0F66AE0BF594882"/>
        <xdr:cNvPicPr>
          <a:picLocks noChangeAspect="1"/>
        </xdr:cNvPicPr>
      </xdr:nvPicPr>
      <xdr:blipFill>
        <a:blip r:embed="rId28"/>
        <a:stretch>
          <a:fillRect/>
        </a:stretch>
      </xdr:blipFill>
      <xdr:spPr>
        <a:xfrm>
          <a:off x="13330555" y="7158355"/>
          <a:ext cx="12649200" cy="3038475"/>
        </a:xfrm>
        <a:prstGeom prst="rect">
          <a:avLst/>
        </a:prstGeom>
        <a:noFill/>
        <a:ln w="9525">
          <a:noFill/>
        </a:ln>
      </xdr:spPr>
    </xdr:pic>
    <xdr:clientData/>
  </xdr:twoCellAnchor>
  <xdr:twoCellAnchor editAs="oneCell">
    <xdr:from>
      <xdr:col>0</xdr:col>
      <xdr:colOff>0</xdr:colOff>
      <xdr:row>0</xdr:row>
      <xdr:rowOff>0</xdr:rowOff>
    </xdr:from>
    <xdr:to>
      <xdr:col>12</xdr:col>
      <xdr:colOff>114300</xdr:colOff>
      <xdr:row>11</xdr:row>
      <xdr:rowOff>38100</xdr:rowOff>
    </xdr:to>
    <xdr:pic>
      <xdr:nvPicPr>
        <xdr:cNvPr id="309" name="ID_5BF37CF53C1847FC97C20BCAFBA25C77"/>
        <xdr:cNvPicPr>
          <a:picLocks noChangeAspect="1"/>
        </xdr:cNvPicPr>
      </xdr:nvPicPr>
      <xdr:blipFill>
        <a:blip r:embed="rId29"/>
        <a:stretch>
          <a:fillRect/>
        </a:stretch>
      </xdr:blipFill>
      <xdr:spPr>
        <a:xfrm>
          <a:off x="13682980" y="14380210"/>
          <a:ext cx="8343900" cy="2028825"/>
        </a:xfrm>
        <a:prstGeom prst="rect">
          <a:avLst/>
        </a:prstGeom>
        <a:noFill/>
        <a:ln w="9525">
          <a:noFill/>
        </a:ln>
      </xdr:spPr>
    </xdr:pic>
    <xdr:clientData/>
  </xdr:twoCellAnchor>
  <xdr:twoCellAnchor editAs="oneCell">
    <xdr:from>
      <xdr:col>0</xdr:col>
      <xdr:colOff>0</xdr:colOff>
      <xdr:row>0</xdr:row>
      <xdr:rowOff>0</xdr:rowOff>
    </xdr:from>
    <xdr:to>
      <xdr:col>12</xdr:col>
      <xdr:colOff>152400</xdr:colOff>
      <xdr:row>16</xdr:row>
      <xdr:rowOff>142875</xdr:rowOff>
    </xdr:to>
    <xdr:pic>
      <xdr:nvPicPr>
        <xdr:cNvPr id="310" name="ID_4E74EBA968BC42269FC4E2CB9F4D3AC2"/>
        <xdr:cNvPicPr>
          <a:picLocks noChangeAspect="1"/>
        </xdr:cNvPicPr>
      </xdr:nvPicPr>
      <xdr:blipFill>
        <a:blip r:embed="rId30"/>
        <a:stretch>
          <a:fillRect/>
        </a:stretch>
      </xdr:blipFill>
      <xdr:spPr>
        <a:xfrm>
          <a:off x="13330555" y="33573085"/>
          <a:ext cx="8382000" cy="3038475"/>
        </a:xfrm>
        <a:prstGeom prst="rect">
          <a:avLst/>
        </a:prstGeom>
        <a:noFill/>
        <a:ln w="9525">
          <a:noFill/>
        </a:ln>
      </xdr:spPr>
    </xdr:pic>
    <xdr:clientData/>
  </xdr:twoCellAnchor>
  <xdr:twoCellAnchor editAs="oneCell">
    <xdr:from>
      <xdr:col>0</xdr:col>
      <xdr:colOff>0</xdr:colOff>
      <xdr:row>0</xdr:row>
      <xdr:rowOff>0</xdr:rowOff>
    </xdr:from>
    <xdr:to>
      <xdr:col>12</xdr:col>
      <xdr:colOff>273685</xdr:colOff>
      <xdr:row>17</xdr:row>
      <xdr:rowOff>0</xdr:rowOff>
    </xdr:to>
    <xdr:pic>
      <xdr:nvPicPr>
        <xdr:cNvPr id="311" name="ID_762CF11D23CE4649B187B3AA8622A37B" descr="捕获"/>
        <xdr:cNvPicPr>
          <a:picLocks noChangeAspect="1"/>
        </xdr:cNvPicPr>
      </xdr:nvPicPr>
      <xdr:blipFill>
        <a:blip r:embed="rId31"/>
        <a:stretch>
          <a:fillRect/>
        </a:stretch>
      </xdr:blipFill>
      <xdr:spPr>
        <a:xfrm>
          <a:off x="13702030" y="9084310"/>
          <a:ext cx="8503285" cy="3076575"/>
        </a:xfrm>
        <a:prstGeom prst="rect">
          <a:avLst/>
        </a:prstGeom>
      </xdr:spPr>
    </xdr:pic>
    <xdr:clientData/>
  </xdr:twoCellAnchor>
  <xdr:twoCellAnchor editAs="oneCell">
    <xdr:from>
      <xdr:col>0</xdr:col>
      <xdr:colOff>0</xdr:colOff>
      <xdr:row>0</xdr:row>
      <xdr:rowOff>0</xdr:rowOff>
    </xdr:from>
    <xdr:to>
      <xdr:col>12</xdr:col>
      <xdr:colOff>207010</xdr:colOff>
      <xdr:row>12</xdr:row>
      <xdr:rowOff>57150</xdr:rowOff>
    </xdr:to>
    <xdr:pic>
      <xdr:nvPicPr>
        <xdr:cNvPr id="312" name="ID_1EEC25EB57344907802806838F52F823" descr="捕获2"/>
        <xdr:cNvPicPr>
          <a:picLocks noChangeAspect="1"/>
        </xdr:cNvPicPr>
      </xdr:nvPicPr>
      <xdr:blipFill>
        <a:blip r:embed="rId32"/>
        <a:stretch>
          <a:fillRect/>
        </a:stretch>
      </xdr:blipFill>
      <xdr:spPr>
        <a:xfrm>
          <a:off x="14397355" y="9579610"/>
          <a:ext cx="8436610" cy="2228850"/>
        </a:xfrm>
        <a:prstGeom prst="rect">
          <a:avLst/>
        </a:prstGeom>
      </xdr:spPr>
    </xdr:pic>
    <xdr:clientData/>
  </xdr:twoCellAnchor>
  <xdr:twoCellAnchor editAs="oneCell">
    <xdr:from>
      <xdr:col>0</xdr:col>
      <xdr:colOff>0</xdr:colOff>
      <xdr:row>0</xdr:row>
      <xdr:rowOff>0</xdr:rowOff>
    </xdr:from>
    <xdr:to>
      <xdr:col>10</xdr:col>
      <xdr:colOff>657225</xdr:colOff>
      <xdr:row>28</xdr:row>
      <xdr:rowOff>76200</xdr:rowOff>
    </xdr:to>
    <xdr:pic>
      <xdr:nvPicPr>
        <xdr:cNvPr id="313" name="ID_292B62421BF246A49D1F015FB44B6D1E"/>
        <xdr:cNvPicPr>
          <a:picLocks noChangeAspect="1"/>
        </xdr:cNvPicPr>
      </xdr:nvPicPr>
      <xdr:blipFill>
        <a:blip r:embed="rId33"/>
        <a:stretch>
          <a:fillRect/>
        </a:stretch>
      </xdr:blipFill>
      <xdr:spPr>
        <a:xfrm>
          <a:off x="13330555" y="29382085"/>
          <a:ext cx="7515225" cy="5143500"/>
        </a:xfrm>
        <a:prstGeom prst="rect">
          <a:avLst/>
        </a:prstGeom>
        <a:noFill/>
        <a:ln w="9525">
          <a:noFill/>
        </a:ln>
      </xdr:spPr>
    </xdr:pic>
    <xdr:clientData/>
  </xdr:twoCellAnchor>
  <xdr:twoCellAnchor editAs="oneCell">
    <xdr:from>
      <xdr:col>0</xdr:col>
      <xdr:colOff>0</xdr:colOff>
      <xdr:row>0</xdr:row>
      <xdr:rowOff>0</xdr:rowOff>
    </xdr:from>
    <xdr:to>
      <xdr:col>12</xdr:col>
      <xdr:colOff>180975</xdr:colOff>
      <xdr:row>7</xdr:row>
      <xdr:rowOff>76200</xdr:rowOff>
    </xdr:to>
    <xdr:pic>
      <xdr:nvPicPr>
        <xdr:cNvPr id="314" name="ID_B1A3218AD7A347E7BE1EB3CA09B08F3D"/>
        <xdr:cNvPicPr>
          <a:picLocks noChangeAspect="1"/>
        </xdr:cNvPicPr>
      </xdr:nvPicPr>
      <xdr:blipFill>
        <a:blip r:embed="rId34"/>
        <a:stretch>
          <a:fillRect/>
        </a:stretch>
      </xdr:blipFill>
      <xdr:spPr>
        <a:xfrm>
          <a:off x="13673455" y="9998710"/>
          <a:ext cx="8410575" cy="1343025"/>
        </a:xfrm>
        <a:prstGeom prst="rect">
          <a:avLst/>
        </a:prstGeom>
        <a:noFill/>
        <a:ln w="9525">
          <a:noFill/>
        </a:ln>
      </xdr:spPr>
    </xdr:pic>
    <xdr:clientData/>
  </xdr:twoCellAnchor>
  <xdr:twoCellAnchor editAs="oneCell">
    <xdr:from>
      <xdr:col>0</xdr:col>
      <xdr:colOff>0</xdr:colOff>
      <xdr:row>0</xdr:row>
      <xdr:rowOff>0</xdr:rowOff>
    </xdr:from>
    <xdr:to>
      <xdr:col>12</xdr:col>
      <xdr:colOff>190500</xdr:colOff>
      <xdr:row>16</xdr:row>
      <xdr:rowOff>171450</xdr:rowOff>
    </xdr:to>
    <xdr:pic>
      <xdr:nvPicPr>
        <xdr:cNvPr id="315" name="ID_EAD72AE173824D63893FB1AED9D23195"/>
        <xdr:cNvPicPr>
          <a:picLocks noChangeAspect="1"/>
        </xdr:cNvPicPr>
      </xdr:nvPicPr>
      <xdr:blipFill>
        <a:blip r:embed="rId35"/>
        <a:stretch>
          <a:fillRect/>
        </a:stretch>
      </xdr:blipFill>
      <xdr:spPr>
        <a:xfrm>
          <a:off x="13330555" y="29801185"/>
          <a:ext cx="8420100" cy="3067050"/>
        </a:xfrm>
        <a:prstGeom prst="rect">
          <a:avLst/>
        </a:prstGeom>
        <a:noFill/>
        <a:ln w="9525">
          <a:noFill/>
        </a:ln>
      </xdr:spPr>
    </xdr:pic>
    <xdr:clientData/>
  </xdr:twoCellAnchor>
  <xdr:twoCellAnchor editAs="oneCell">
    <xdr:from>
      <xdr:col>0</xdr:col>
      <xdr:colOff>0</xdr:colOff>
      <xdr:row>0</xdr:row>
      <xdr:rowOff>0</xdr:rowOff>
    </xdr:from>
    <xdr:to>
      <xdr:col>12</xdr:col>
      <xdr:colOff>247650</xdr:colOff>
      <xdr:row>17</xdr:row>
      <xdr:rowOff>9525</xdr:rowOff>
    </xdr:to>
    <xdr:pic>
      <xdr:nvPicPr>
        <xdr:cNvPr id="316" name="ID_AF2A622A89074EB598D80EDF50628B97"/>
        <xdr:cNvPicPr>
          <a:picLocks noChangeAspect="1"/>
        </xdr:cNvPicPr>
      </xdr:nvPicPr>
      <xdr:blipFill>
        <a:blip r:embed="rId36"/>
        <a:stretch>
          <a:fillRect/>
        </a:stretch>
      </xdr:blipFill>
      <xdr:spPr>
        <a:xfrm>
          <a:off x="13549630" y="10360660"/>
          <a:ext cx="8477250" cy="3086100"/>
        </a:xfrm>
        <a:prstGeom prst="rect">
          <a:avLst/>
        </a:prstGeom>
        <a:noFill/>
        <a:ln w="9525">
          <a:noFill/>
        </a:ln>
      </xdr:spPr>
    </xdr:pic>
    <xdr:clientData/>
  </xdr:twoCellAnchor>
  <xdr:twoCellAnchor editAs="oneCell">
    <xdr:from>
      <xdr:col>0</xdr:col>
      <xdr:colOff>0</xdr:colOff>
      <xdr:row>0</xdr:row>
      <xdr:rowOff>0</xdr:rowOff>
    </xdr:from>
    <xdr:to>
      <xdr:col>12</xdr:col>
      <xdr:colOff>304800</xdr:colOff>
      <xdr:row>16</xdr:row>
      <xdr:rowOff>161925</xdr:rowOff>
    </xdr:to>
    <xdr:pic>
      <xdr:nvPicPr>
        <xdr:cNvPr id="317" name="ID_03C08D964F6A45ABB8ED51D072979E70"/>
        <xdr:cNvPicPr>
          <a:picLocks noChangeAspect="1"/>
        </xdr:cNvPicPr>
      </xdr:nvPicPr>
      <xdr:blipFill>
        <a:blip r:embed="rId37"/>
        <a:stretch>
          <a:fillRect/>
        </a:stretch>
      </xdr:blipFill>
      <xdr:spPr>
        <a:xfrm>
          <a:off x="13330555" y="20161885"/>
          <a:ext cx="8534400" cy="3057525"/>
        </a:xfrm>
        <a:prstGeom prst="rect">
          <a:avLst/>
        </a:prstGeom>
        <a:noFill/>
        <a:ln w="9525">
          <a:noFill/>
        </a:ln>
      </xdr:spPr>
    </xdr:pic>
    <xdr:clientData/>
  </xdr:twoCellAnchor>
  <xdr:twoCellAnchor editAs="oneCell">
    <xdr:from>
      <xdr:col>0</xdr:col>
      <xdr:colOff>0</xdr:colOff>
      <xdr:row>0</xdr:row>
      <xdr:rowOff>0</xdr:rowOff>
    </xdr:from>
    <xdr:to>
      <xdr:col>12</xdr:col>
      <xdr:colOff>247650</xdr:colOff>
      <xdr:row>17</xdr:row>
      <xdr:rowOff>9525</xdr:rowOff>
    </xdr:to>
    <xdr:pic>
      <xdr:nvPicPr>
        <xdr:cNvPr id="318" name="ID_94706835D494481F8B152F7AC82FAAB6"/>
        <xdr:cNvPicPr>
          <a:picLocks noChangeAspect="1"/>
        </xdr:cNvPicPr>
      </xdr:nvPicPr>
      <xdr:blipFill>
        <a:blip r:embed="rId36"/>
        <a:stretch>
          <a:fillRect/>
        </a:stretch>
      </xdr:blipFill>
      <xdr:spPr>
        <a:xfrm>
          <a:off x="13816330" y="10770235"/>
          <a:ext cx="8477250" cy="3086100"/>
        </a:xfrm>
        <a:prstGeom prst="rect">
          <a:avLst/>
        </a:prstGeom>
        <a:noFill/>
        <a:ln w="9525">
          <a:noFill/>
        </a:ln>
      </xdr:spPr>
    </xdr:pic>
    <xdr:clientData/>
  </xdr:twoCellAnchor>
  <xdr:twoCellAnchor editAs="oneCell">
    <xdr:from>
      <xdr:col>0</xdr:col>
      <xdr:colOff>0</xdr:colOff>
      <xdr:row>0</xdr:row>
      <xdr:rowOff>0</xdr:rowOff>
    </xdr:from>
    <xdr:to>
      <xdr:col>12</xdr:col>
      <xdr:colOff>219075</xdr:colOff>
      <xdr:row>16</xdr:row>
      <xdr:rowOff>104775</xdr:rowOff>
    </xdr:to>
    <xdr:pic>
      <xdr:nvPicPr>
        <xdr:cNvPr id="319" name="ID_44CFB85F5F684375A1EA1BFF7A291F68"/>
        <xdr:cNvPicPr>
          <a:picLocks noChangeAspect="1"/>
        </xdr:cNvPicPr>
      </xdr:nvPicPr>
      <xdr:blipFill>
        <a:blip r:embed="rId38"/>
        <a:stretch>
          <a:fillRect/>
        </a:stretch>
      </xdr:blipFill>
      <xdr:spPr>
        <a:xfrm>
          <a:off x="13330555" y="30639385"/>
          <a:ext cx="8448675" cy="3000375"/>
        </a:xfrm>
        <a:prstGeom prst="rect">
          <a:avLst/>
        </a:prstGeom>
        <a:noFill/>
        <a:ln w="9525">
          <a:noFill/>
        </a:ln>
      </xdr:spPr>
    </xdr:pic>
    <xdr:clientData/>
  </xdr:twoCellAnchor>
  <xdr:twoCellAnchor editAs="oneCell">
    <xdr:from>
      <xdr:col>0</xdr:col>
      <xdr:colOff>0</xdr:colOff>
      <xdr:row>0</xdr:row>
      <xdr:rowOff>0</xdr:rowOff>
    </xdr:from>
    <xdr:to>
      <xdr:col>12</xdr:col>
      <xdr:colOff>295275</xdr:colOff>
      <xdr:row>16</xdr:row>
      <xdr:rowOff>123825</xdr:rowOff>
    </xdr:to>
    <xdr:pic>
      <xdr:nvPicPr>
        <xdr:cNvPr id="320" name="ID_9D64D15E3FE14708AD04731B54D4E26B"/>
        <xdr:cNvPicPr>
          <a:picLocks noChangeAspect="1"/>
        </xdr:cNvPicPr>
      </xdr:nvPicPr>
      <xdr:blipFill>
        <a:blip r:embed="rId39"/>
        <a:stretch>
          <a:fillRect/>
        </a:stretch>
      </xdr:blipFill>
      <xdr:spPr>
        <a:xfrm>
          <a:off x="13721080" y="11484610"/>
          <a:ext cx="8524875" cy="3019425"/>
        </a:xfrm>
        <a:prstGeom prst="rect">
          <a:avLst/>
        </a:prstGeom>
        <a:noFill/>
        <a:ln w="9525">
          <a:noFill/>
        </a:ln>
      </xdr:spPr>
    </xdr:pic>
    <xdr:clientData/>
  </xdr:twoCellAnchor>
  <xdr:twoCellAnchor editAs="oneCell">
    <xdr:from>
      <xdr:col>0</xdr:col>
      <xdr:colOff>0</xdr:colOff>
      <xdr:row>0</xdr:row>
      <xdr:rowOff>0</xdr:rowOff>
    </xdr:from>
    <xdr:to>
      <xdr:col>12</xdr:col>
      <xdr:colOff>161925</xdr:colOff>
      <xdr:row>15</xdr:row>
      <xdr:rowOff>133350</xdr:rowOff>
    </xdr:to>
    <xdr:pic>
      <xdr:nvPicPr>
        <xdr:cNvPr id="321" name="ID_D720DDD7A33946A89AC5763D38539B10"/>
        <xdr:cNvPicPr>
          <a:picLocks noChangeAspect="1"/>
        </xdr:cNvPicPr>
      </xdr:nvPicPr>
      <xdr:blipFill>
        <a:blip r:embed="rId40"/>
        <a:stretch>
          <a:fillRect/>
        </a:stretch>
      </xdr:blipFill>
      <xdr:spPr>
        <a:xfrm>
          <a:off x="13330555" y="21000085"/>
          <a:ext cx="8391525" cy="2847975"/>
        </a:xfrm>
        <a:prstGeom prst="rect">
          <a:avLst/>
        </a:prstGeom>
        <a:noFill/>
        <a:ln w="9525">
          <a:noFill/>
        </a:ln>
      </xdr:spPr>
    </xdr:pic>
    <xdr:clientData/>
  </xdr:twoCellAnchor>
  <xdr:twoCellAnchor editAs="oneCell">
    <xdr:from>
      <xdr:col>0</xdr:col>
      <xdr:colOff>0</xdr:colOff>
      <xdr:row>0</xdr:row>
      <xdr:rowOff>0</xdr:rowOff>
    </xdr:from>
    <xdr:to>
      <xdr:col>12</xdr:col>
      <xdr:colOff>209550</xdr:colOff>
      <xdr:row>16</xdr:row>
      <xdr:rowOff>171450</xdr:rowOff>
    </xdr:to>
    <xdr:pic>
      <xdr:nvPicPr>
        <xdr:cNvPr id="322" name="ID_FFEC4C141B2B44EB9CE5D7BCA887A02C"/>
        <xdr:cNvPicPr>
          <a:picLocks noChangeAspect="1"/>
        </xdr:cNvPicPr>
      </xdr:nvPicPr>
      <xdr:blipFill>
        <a:blip r:embed="rId41"/>
        <a:stretch>
          <a:fillRect/>
        </a:stretch>
      </xdr:blipFill>
      <xdr:spPr>
        <a:xfrm>
          <a:off x="13330555" y="31058485"/>
          <a:ext cx="8439150" cy="3067050"/>
        </a:xfrm>
        <a:prstGeom prst="rect">
          <a:avLst/>
        </a:prstGeom>
        <a:noFill/>
        <a:ln w="9525">
          <a:noFill/>
        </a:ln>
      </xdr:spPr>
    </xdr:pic>
    <xdr:clientData/>
  </xdr:twoCellAnchor>
  <xdr:twoCellAnchor editAs="oneCell">
    <xdr:from>
      <xdr:col>0</xdr:col>
      <xdr:colOff>0</xdr:colOff>
      <xdr:row>0</xdr:row>
      <xdr:rowOff>0</xdr:rowOff>
    </xdr:from>
    <xdr:to>
      <xdr:col>12</xdr:col>
      <xdr:colOff>257175</xdr:colOff>
      <xdr:row>16</xdr:row>
      <xdr:rowOff>114300</xdr:rowOff>
    </xdr:to>
    <xdr:pic>
      <xdr:nvPicPr>
        <xdr:cNvPr id="323" name="ID_A9A70EBF030D42DBA1CEBFC225D848E1"/>
        <xdr:cNvPicPr>
          <a:picLocks noChangeAspect="1"/>
        </xdr:cNvPicPr>
      </xdr:nvPicPr>
      <xdr:blipFill>
        <a:blip r:embed="rId42"/>
        <a:stretch>
          <a:fillRect/>
        </a:stretch>
      </xdr:blipFill>
      <xdr:spPr>
        <a:xfrm>
          <a:off x="13742035" y="11913235"/>
          <a:ext cx="8486775" cy="3009900"/>
        </a:xfrm>
        <a:prstGeom prst="rect">
          <a:avLst/>
        </a:prstGeom>
        <a:noFill/>
        <a:ln w="9525">
          <a:noFill/>
        </a:ln>
      </xdr:spPr>
    </xdr:pic>
    <xdr:clientData/>
  </xdr:twoCellAnchor>
  <xdr:twoCellAnchor editAs="oneCell">
    <xdr:from>
      <xdr:col>0</xdr:col>
      <xdr:colOff>0</xdr:colOff>
      <xdr:row>0</xdr:row>
      <xdr:rowOff>0</xdr:rowOff>
    </xdr:from>
    <xdr:to>
      <xdr:col>12</xdr:col>
      <xdr:colOff>295275</xdr:colOff>
      <xdr:row>16</xdr:row>
      <xdr:rowOff>133350</xdr:rowOff>
    </xdr:to>
    <xdr:pic>
      <xdr:nvPicPr>
        <xdr:cNvPr id="324" name="ID_9367459FEC394C2B8D2445AA60F05818"/>
        <xdr:cNvPicPr>
          <a:picLocks noChangeAspect="1"/>
        </xdr:cNvPicPr>
      </xdr:nvPicPr>
      <xdr:blipFill>
        <a:blip r:embed="rId43"/>
        <a:stretch>
          <a:fillRect/>
        </a:stretch>
      </xdr:blipFill>
      <xdr:spPr>
        <a:xfrm>
          <a:off x="13587730" y="12284710"/>
          <a:ext cx="8524875" cy="3028950"/>
        </a:xfrm>
        <a:prstGeom prst="rect">
          <a:avLst/>
        </a:prstGeom>
        <a:noFill/>
        <a:ln w="9525">
          <a:noFill/>
        </a:ln>
      </xdr:spPr>
    </xdr:pic>
    <xdr:clientData/>
  </xdr:twoCellAnchor>
  <xdr:twoCellAnchor editAs="oneCell">
    <xdr:from>
      <xdr:col>0</xdr:col>
      <xdr:colOff>0</xdr:colOff>
      <xdr:row>0</xdr:row>
      <xdr:rowOff>0</xdr:rowOff>
    </xdr:from>
    <xdr:to>
      <xdr:col>12</xdr:col>
      <xdr:colOff>180975</xdr:colOff>
      <xdr:row>16</xdr:row>
      <xdr:rowOff>161925</xdr:rowOff>
    </xdr:to>
    <xdr:pic>
      <xdr:nvPicPr>
        <xdr:cNvPr id="325" name="ID_F6F37691C8764F8CAC19D8C4CFFDD608"/>
        <xdr:cNvPicPr>
          <a:picLocks noChangeAspect="1"/>
        </xdr:cNvPicPr>
      </xdr:nvPicPr>
      <xdr:blipFill>
        <a:blip r:embed="rId44"/>
        <a:stretch>
          <a:fillRect/>
        </a:stretch>
      </xdr:blipFill>
      <xdr:spPr>
        <a:xfrm>
          <a:off x="13635355" y="12684760"/>
          <a:ext cx="8410575" cy="3057525"/>
        </a:xfrm>
        <a:prstGeom prst="rect">
          <a:avLst/>
        </a:prstGeom>
        <a:noFill/>
        <a:ln w="9525">
          <a:noFill/>
        </a:ln>
      </xdr:spPr>
    </xdr:pic>
    <xdr:clientData/>
  </xdr:twoCellAnchor>
  <xdr:twoCellAnchor editAs="oneCell">
    <xdr:from>
      <xdr:col>0</xdr:col>
      <xdr:colOff>0</xdr:colOff>
      <xdr:row>0</xdr:row>
      <xdr:rowOff>0</xdr:rowOff>
    </xdr:from>
    <xdr:to>
      <xdr:col>12</xdr:col>
      <xdr:colOff>247650</xdr:colOff>
      <xdr:row>16</xdr:row>
      <xdr:rowOff>104775</xdr:rowOff>
    </xdr:to>
    <xdr:pic>
      <xdr:nvPicPr>
        <xdr:cNvPr id="326" name="ID_AC48647E43F448B399251C230FAEE3F0"/>
        <xdr:cNvPicPr>
          <a:picLocks noChangeAspect="1"/>
        </xdr:cNvPicPr>
      </xdr:nvPicPr>
      <xdr:blipFill>
        <a:blip r:embed="rId45"/>
        <a:stretch>
          <a:fillRect/>
        </a:stretch>
      </xdr:blipFill>
      <xdr:spPr>
        <a:xfrm>
          <a:off x="13492480" y="13113385"/>
          <a:ext cx="8477250" cy="3000375"/>
        </a:xfrm>
        <a:prstGeom prst="rect">
          <a:avLst/>
        </a:prstGeom>
        <a:noFill/>
        <a:ln w="9525">
          <a:noFill/>
        </a:ln>
      </xdr:spPr>
    </xdr:pic>
    <xdr:clientData/>
  </xdr:twoCellAnchor>
  <xdr:twoCellAnchor editAs="oneCell">
    <xdr:from>
      <xdr:col>0</xdr:col>
      <xdr:colOff>0</xdr:colOff>
      <xdr:row>0</xdr:row>
      <xdr:rowOff>0</xdr:rowOff>
    </xdr:from>
    <xdr:to>
      <xdr:col>12</xdr:col>
      <xdr:colOff>142875</xdr:colOff>
      <xdr:row>11</xdr:row>
      <xdr:rowOff>76200</xdr:rowOff>
    </xdr:to>
    <xdr:pic>
      <xdr:nvPicPr>
        <xdr:cNvPr id="327" name="ID_6C64DF5FB2E54CB0A340B2D494968D4D"/>
        <xdr:cNvPicPr>
          <a:picLocks noChangeAspect="1"/>
        </xdr:cNvPicPr>
      </xdr:nvPicPr>
      <xdr:blipFill>
        <a:blip r:embed="rId46"/>
        <a:stretch>
          <a:fillRect/>
        </a:stretch>
      </xdr:blipFill>
      <xdr:spPr>
        <a:xfrm>
          <a:off x="13330555" y="22676485"/>
          <a:ext cx="8372475" cy="2066925"/>
        </a:xfrm>
        <a:prstGeom prst="rect">
          <a:avLst/>
        </a:prstGeom>
        <a:noFill/>
        <a:ln w="9525">
          <a:noFill/>
        </a:ln>
      </xdr:spPr>
    </xdr:pic>
    <xdr:clientData/>
  </xdr:twoCellAnchor>
  <xdr:twoCellAnchor editAs="oneCell">
    <xdr:from>
      <xdr:col>0</xdr:col>
      <xdr:colOff>0</xdr:colOff>
      <xdr:row>0</xdr:row>
      <xdr:rowOff>0</xdr:rowOff>
    </xdr:from>
    <xdr:to>
      <xdr:col>12</xdr:col>
      <xdr:colOff>152400</xdr:colOff>
      <xdr:row>16</xdr:row>
      <xdr:rowOff>114300</xdr:rowOff>
    </xdr:to>
    <xdr:pic>
      <xdr:nvPicPr>
        <xdr:cNvPr id="328" name="ID_AD84D30A14BC428D955FCE98B7CC8DA5"/>
        <xdr:cNvPicPr>
          <a:picLocks noChangeAspect="1"/>
        </xdr:cNvPicPr>
      </xdr:nvPicPr>
      <xdr:blipFill>
        <a:blip r:embed="rId47"/>
        <a:stretch>
          <a:fillRect/>
        </a:stretch>
      </xdr:blipFill>
      <xdr:spPr>
        <a:xfrm>
          <a:off x="13587730" y="13513435"/>
          <a:ext cx="8382000" cy="3009900"/>
        </a:xfrm>
        <a:prstGeom prst="rect">
          <a:avLst/>
        </a:prstGeom>
        <a:noFill/>
        <a:ln w="9525">
          <a:noFill/>
        </a:ln>
      </xdr:spPr>
    </xdr:pic>
    <xdr:clientData/>
  </xdr:twoCellAnchor>
  <xdr:twoCellAnchor editAs="oneCell">
    <xdr:from>
      <xdr:col>0</xdr:col>
      <xdr:colOff>0</xdr:colOff>
      <xdr:row>0</xdr:row>
      <xdr:rowOff>0</xdr:rowOff>
    </xdr:from>
    <xdr:to>
      <xdr:col>12</xdr:col>
      <xdr:colOff>76200</xdr:colOff>
      <xdr:row>16</xdr:row>
      <xdr:rowOff>161925</xdr:rowOff>
    </xdr:to>
    <xdr:pic>
      <xdr:nvPicPr>
        <xdr:cNvPr id="329" name="ID_636CC8E3566B410A913B1D8350A3C60D"/>
        <xdr:cNvPicPr>
          <a:picLocks noChangeAspect="1"/>
        </xdr:cNvPicPr>
      </xdr:nvPicPr>
      <xdr:blipFill>
        <a:blip r:embed="rId48"/>
        <a:stretch>
          <a:fillRect/>
        </a:stretch>
      </xdr:blipFill>
      <xdr:spPr>
        <a:xfrm>
          <a:off x="13568680" y="13932535"/>
          <a:ext cx="8305800" cy="3057525"/>
        </a:xfrm>
        <a:prstGeom prst="rect">
          <a:avLst/>
        </a:prstGeom>
        <a:noFill/>
        <a:ln w="9525">
          <a:noFill/>
        </a:ln>
      </xdr:spPr>
    </xdr:pic>
    <xdr:clientData/>
  </xdr:twoCellAnchor>
  <xdr:twoCellAnchor editAs="oneCell">
    <xdr:from>
      <xdr:col>0</xdr:col>
      <xdr:colOff>0</xdr:colOff>
      <xdr:row>0</xdr:row>
      <xdr:rowOff>0</xdr:rowOff>
    </xdr:from>
    <xdr:to>
      <xdr:col>12</xdr:col>
      <xdr:colOff>152400</xdr:colOff>
      <xdr:row>10</xdr:row>
      <xdr:rowOff>57150</xdr:rowOff>
    </xdr:to>
    <xdr:pic>
      <xdr:nvPicPr>
        <xdr:cNvPr id="330" name="ID_16FACBC3A5694C369473BE3B4757690A"/>
        <xdr:cNvPicPr>
          <a:picLocks noChangeAspect="1"/>
        </xdr:cNvPicPr>
      </xdr:nvPicPr>
      <xdr:blipFill>
        <a:blip r:embed="rId49"/>
        <a:stretch>
          <a:fillRect/>
        </a:stretch>
      </xdr:blipFill>
      <xdr:spPr>
        <a:xfrm>
          <a:off x="13330555" y="23514685"/>
          <a:ext cx="8382000" cy="1866900"/>
        </a:xfrm>
        <a:prstGeom prst="rect">
          <a:avLst/>
        </a:prstGeom>
        <a:noFill/>
        <a:ln w="9525">
          <a:noFill/>
        </a:ln>
      </xdr:spPr>
    </xdr:pic>
    <xdr:clientData/>
  </xdr:twoCellAnchor>
  <xdr:twoCellAnchor editAs="oneCell">
    <xdr:from>
      <xdr:col>0</xdr:col>
      <xdr:colOff>0</xdr:colOff>
      <xdr:row>0</xdr:row>
      <xdr:rowOff>0</xdr:rowOff>
    </xdr:from>
    <xdr:to>
      <xdr:col>12</xdr:col>
      <xdr:colOff>142875</xdr:colOff>
      <xdr:row>10</xdr:row>
      <xdr:rowOff>142875</xdr:rowOff>
    </xdr:to>
    <xdr:pic>
      <xdr:nvPicPr>
        <xdr:cNvPr id="331" name="ID_DA2D844A6A394BE9912D466CF33DC72D"/>
        <xdr:cNvPicPr>
          <a:picLocks noChangeAspect="1"/>
        </xdr:cNvPicPr>
      </xdr:nvPicPr>
      <xdr:blipFill>
        <a:blip r:embed="rId50"/>
        <a:stretch>
          <a:fillRect/>
        </a:stretch>
      </xdr:blipFill>
      <xdr:spPr>
        <a:xfrm>
          <a:off x="13330555" y="34411285"/>
          <a:ext cx="8372475" cy="1952625"/>
        </a:xfrm>
        <a:prstGeom prst="rect">
          <a:avLst/>
        </a:prstGeom>
        <a:noFill/>
        <a:ln w="9525">
          <a:noFill/>
        </a:ln>
      </xdr:spPr>
    </xdr:pic>
    <xdr:clientData/>
  </xdr:twoCellAnchor>
  <xdr:twoCellAnchor editAs="oneCell">
    <xdr:from>
      <xdr:col>0</xdr:col>
      <xdr:colOff>0</xdr:colOff>
      <xdr:row>0</xdr:row>
      <xdr:rowOff>0</xdr:rowOff>
    </xdr:from>
    <xdr:to>
      <xdr:col>12</xdr:col>
      <xdr:colOff>104775</xdr:colOff>
      <xdr:row>9</xdr:row>
      <xdr:rowOff>28575</xdr:rowOff>
    </xdr:to>
    <xdr:pic>
      <xdr:nvPicPr>
        <xdr:cNvPr id="332" name="ID_878952CFC618499D91252B26E8AFC9EE"/>
        <xdr:cNvPicPr>
          <a:picLocks noChangeAspect="1"/>
        </xdr:cNvPicPr>
      </xdr:nvPicPr>
      <xdr:blipFill>
        <a:blip r:embed="rId51"/>
        <a:stretch>
          <a:fillRect/>
        </a:stretch>
      </xdr:blipFill>
      <xdr:spPr>
        <a:xfrm>
          <a:off x="13578205" y="15199360"/>
          <a:ext cx="8334375" cy="1657350"/>
        </a:xfrm>
        <a:prstGeom prst="rect">
          <a:avLst/>
        </a:prstGeom>
        <a:noFill/>
        <a:ln w="9525">
          <a:noFill/>
        </a:ln>
      </xdr:spPr>
    </xdr:pic>
    <xdr:clientData/>
  </xdr:twoCellAnchor>
  <xdr:twoCellAnchor editAs="oneCell">
    <xdr:from>
      <xdr:col>0</xdr:col>
      <xdr:colOff>0</xdr:colOff>
      <xdr:row>0</xdr:row>
      <xdr:rowOff>0</xdr:rowOff>
    </xdr:from>
    <xdr:to>
      <xdr:col>12</xdr:col>
      <xdr:colOff>123825</xdr:colOff>
      <xdr:row>11</xdr:row>
      <xdr:rowOff>85725</xdr:rowOff>
    </xdr:to>
    <xdr:pic>
      <xdr:nvPicPr>
        <xdr:cNvPr id="333" name="ID_D5C572958DE24353BAD2187732A6059C"/>
        <xdr:cNvPicPr>
          <a:picLocks noChangeAspect="1"/>
        </xdr:cNvPicPr>
      </xdr:nvPicPr>
      <xdr:blipFill>
        <a:blip r:embed="rId52"/>
        <a:stretch>
          <a:fillRect/>
        </a:stretch>
      </xdr:blipFill>
      <xdr:spPr>
        <a:xfrm>
          <a:off x="13635355" y="16113760"/>
          <a:ext cx="8353425" cy="2076450"/>
        </a:xfrm>
        <a:prstGeom prst="rect">
          <a:avLst/>
        </a:prstGeom>
        <a:noFill/>
        <a:ln w="9525">
          <a:noFill/>
        </a:ln>
      </xdr:spPr>
    </xdr:pic>
    <xdr:clientData/>
  </xdr:twoCellAnchor>
  <xdr:twoCellAnchor editAs="oneCell">
    <xdr:from>
      <xdr:col>0</xdr:col>
      <xdr:colOff>0</xdr:colOff>
      <xdr:row>0</xdr:row>
      <xdr:rowOff>0</xdr:rowOff>
    </xdr:from>
    <xdr:to>
      <xdr:col>12</xdr:col>
      <xdr:colOff>142875</xdr:colOff>
      <xdr:row>12</xdr:row>
      <xdr:rowOff>104775</xdr:rowOff>
    </xdr:to>
    <xdr:pic>
      <xdr:nvPicPr>
        <xdr:cNvPr id="334" name="ID_CF8CBFA7E49042E1860F6C7E56CF27AB"/>
        <xdr:cNvPicPr>
          <a:picLocks noChangeAspect="1"/>
        </xdr:cNvPicPr>
      </xdr:nvPicPr>
      <xdr:blipFill>
        <a:blip r:embed="rId53"/>
        <a:stretch>
          <a:fillRect/>
        </a:stretch>
      </xdr:blipFill>
      <xdr:spPr>
        <a:xfrm>
          <a:off x="13663930" y="16942435"/>
          <a:ext cx="8372475" cy="2276475"/>
        </a:xfrm>
        <a:prstGeom prst="rect">
          <a:avLst/>
        </a:prstGeom>
        <a:noFill/>
        <a:ln w="9525">
          <a:noFill/>
        </a:ln>
      </xdr:spPr>
    </xdr:pic>
    <xdr:clientData/>
  </xdr:twoCellAnchor>
  <xdr:twoCellAnchor editAs="oneCell">
    <xdr:from>
      <xdr:col>0</xdr:col>
      <xdr:colOff>0</xdr:colOff>
      <xdr:row>0</xdr:row>
      <xdr:rowOff>0</xdr:rowOff>
    </xdr:from>
    <xdr:to>
      <xdr:col>12</xdr:col>
      <xdr:colOff>104775</xdr:colOff>
      <xdr:row>16</xdr:row>
      <xdr:rowOff>104775</xdr:rowOff>
    </xdr:to>
    <xdr:pic>
      <xdr:nvPicPr>
        <xdr:cNvPr id="335" name="ID_F5A5121B804C4D2AAFC7B653607E3367"/>
        <xdr:cNvPicPr>
          <a:picLocks noChangeAspect="1"/>
        </xdr:cNvPicPr>
      </xdr:nvPicPr>
      <xdr:blipFill>
        <a:blip r:embed="rId54"/>
        <a:stretch>
          <a:fillRect/>
        </a:stretch>
      </xdr:blipFill>
      <xdr:spPr>
        <a:xfrm>
          <a:off x="13703935" y="17752060"/>
          <a:ext cx="8334375" cy="3000375"/>
        </a:xfrm>
        <a:prstGeom prst="rect">
          <a:avLst/>
        </a:prstGeom>
        <a:noFill/>
        <a:ln w="9525">
          <a:noFill/>
        </a:ln>
      </xdr:spPr>
    </xdr:pic>
    <xdr:clientData/>
  </xdr:twoCellAnchor>
  <xdr:twoCellAnchor editAs="oneCell">
    <xdr:from>
      <xdr:col>0</xdr:col>
      <xdr:colOff>0</xdr:colOff>
      <xdr:row>0</xdr:row>
      <xdr:rowOff>0</xdr:rowOff>
    </xdr:from>
    <xdr:to>
      <xdr:col>12</xdr:col>
      <xdr:colOff>200025</xdr:colOff>
      <xdr:row>5</xdr:row>
      <xdr:rowOff>161925</xdr:rowOff>
    </xdr:to>
    <xdr:pic>
      <xdr:nvPicPr>
        <xdr:cNvPr id="336" name="ID_441E44183F074F30BE98A4D20CE9454C"/>
        <xdr:cNvPicPr>
          <a:picLocks noChangeAspect="1"/>
        </xdr:cNvPicPr>
      </xdr:nvPicPr>
      <xdr:blipFill>
        <a:blip r:embed="rId55"/>
        <a:stretch>
          <a:fillRect/>
        </a:stretch>
      </xdr:blipFill>
      <xdr:spPr>
        <a:xfrm>
          <a:off x="13330555" y="38392735"/>
          <a:ext cx="8429625" cy="1066800"/>
        </a:xfrm>
        <a:prstGeom prst="rect">
          <a:avLst/>
        </a:prstGeom>
        <a:noFill/>
        <a:ln w="9525">
          <a:noFill/>
        </a:ln>
      </xdr:spPr>
    </xdr:pic>
    <xdr:clientData/>
  </xdr:twoCellAnchor>
  <xdr:twoCellAnchor editAs="oneCell">
    <xdr:from>
      <xdr:col>0</xdr:col>
      <xdr:colOff>0</xdr:colOff>
      <xdr:row>0</xdr:row>
      <xdr:rowOff>0</xdr:rowOff>
    </xdr:from>
    <xdr:to>
      <xdr:col>12</xdr:col>
      <xdr:colOff>114300</xdr:colOff>
      <xdr:row>16</xdr:row>
      <xdr:rowOff>123825</xdr:rowOff>
    </xdr:to>
    <xdr:pic>
      <xdr:nvPicPr>
        <xdr:cNvPr id="337" name="ID_DB1A1FFF3DD94A89A71DDB09FE1DF907"/>
        <xdr:cNvPicPr>
          <a:picLocks noChangeAspect="1"/>
        </xdr:cNvPicPr>
      </xdr:nvPicPr>
      <xdr:blipFill>
        <a:blip r:embed="rId56"/>
        <a:stretch>
          <a:fillRect/>
        </a:stretch>
      </xdr:blipFill>
      <xdr:spPr>
        <a:xfrm>
          <a:off x="13694410" y="18561685"/>
          <a:ext cx="8343900" cy="3019425"/>
        </a:xfrm>
        <a:prstGeom prst="rect">
          <a:avLst/>
        </a:prstGeom>
        <a:noFill/>
        <a:ln w="9525">
          <a:noFill/>
        </a:ln>
      </xdr:spPr>
    </xdr:pic>
    <xdr:clientData/>
  </xdr:twoCellAnchor>
  <xdr:twoCellAnchor editAs="oneCell">
    <xdr:from>
      <xdr:col>0</xdr:col>
      <xdr:colOff>0</xdr:colOff>
      <xdr:row>0</xdr:row>
      <xdr:rowOff>0</xdr:rowOff>
    </xdr:from>
    <xdr:to>
      <xdr:col>12</xdr:col>
      <xdr:colOff>171450</xdr:colOff>
      <xdr:row>5</xdr:row>
      <xdr:rowOff>104775</xdr:rowOff>
    </xdr:to>
    <xdr:pic>
      <xdr:nvPicPr>
        <xdr:cNvPr id="338" name="ID_1D17DF2F91284DF8BD9E76B58ADDE20A"/>
        <xdr:cNvPicPr>
          <a:picLocks noChangeAspect="1"/>
        </xdr:cNvPicPr>
      </xdr:nvPicPr>
      <xdr:blipFill>
        <a:blip r:embed="rId57"/>
        <a:stretch>
          <a:fillRect/>
        </a:stretch>
      </xdr:blipFill>
      <xdr:spPr>
        <a:xfrm>
          <a:off x="13721080" y="18999835"/>
          <a:ext cx="8401050" cy="1009650"/>
        </a:xfrm>
        <a:prstGeom prst="rect">
          <a:avLst/>
        </a:prstGeom>
        <a:noFill/>
        <a:ln w="9525">
          <a:noFill/>
        </a:ln>
      </xdr:spPr>
    </xdr:pic>
    <xdr:clientData/>
  </xdr:twoCellAnchor>
  <xdr:twoCellAnchor editAs="oneCell">
    <xdr:from>
      <xdr:col>0</xdr:col>
      <xdr:colOff>0</xdr:colOff>
      <xdr:row>0</xdr:row>
      <xdr:rowOff>0</xdr:rowOff>
    </xdr:from>
    <xdr:to>
      <xdr:col>12</xdr:col>
      <xdr:colOff>142875</xdr:colOff>
      <xdr:row>16</xdr:row>
      <xdr:rowOff>171450</xdr:rowOff>
    </xdr:to>
    <xdr:pic>
      <xdr:nvPicPr>
        <xdr:cNvPr id="339" name="ID_7AB17434544D45D1A83B54B17892A14C"/>
        <xdr:cNvPicPr>
          <a:picLocks noChangeAspect="1"/>
        </xdr:cNvPicPr>
      </xdr:nvPicPr>
      <xdr:blipFill>
        <a:blip r:embed="rId58"/>
        <a:stretch>
          <a:fillRect/>
        </a:stretch>
      </xdr:blipFill>
      <xdr:spPr>
        <a:xfrm>
          <a:off x="13330555" y="28962985"/>
          <a:ext cx="8372475" cy="3067050"/>
        </a:xfrm>
        <a:prstGeom prst="rect">
          <a:avLst/>
        </a:prstGeom>
        <a:noFill/>
        <a:ln w="9525">
          <a:noFill/>
        </a:ln>
      </xdr:spPr>
    </xdr:pic>
    <xdr:clientData/>
  </xdr:twoCellAnchor>
  <xdr:twoCellAnchor editAs="oneCell">
    <xdr:from>
      <xdr:col>0</xdr:col>
      <xdr:colOff>0</xdr:colOff>
      <xdr:row>0</xdr:row>
      <xdr:rowOff>0</xdr:rowOff>
    </xdr:from>
    <xdr:to>
      <xdr:col>12</xdr:col>
      <xdr:colOff>161925</xdr:colOff>
      <xdr:row>16</xdr:row>
      <xdr:rowOff>161925</xdr:rowOff>
    </xdr:to>
    <xdr:pic>
      <xdr:nvPicPr>
        <xdr:cNvPr id="340" name="ID_F189FDF0517D4E148DCD872393156641"/>
        <xdr:cNvPicPr>
          <a:picLocks noChangeAspect="1"/>
        </xdr:cNvPicPr>
      </xdr:nvPicPr>
      <xdr:blipFill>
        <a:blip r:embed="rId59"/>
        <a:stretch>
          <a:fillRect/>
        </a:stretch>
      </xdr:blipFill>
      <xdr:spPr>
        <a:xfrm>
          <a:off x="13330555" y="19323685"/>
          <a:ext cx="8391525" cy="3057525"/>
        </a:xfrm>
        <a:prstGeom prst="rect">
          <a:avLst/>
        </a:prstGeom>
        <a:noFill/>
        <a:ln w="9525">
          <a:noFill/>
        </a:ln>
      </xdr:spPr>
    </xdr:pic>
    <xdr:clientData/>
  </xdr:twoCellAnchor>
  <xdr:twoCellAnchor editAs="oneCell">
    <xdr:from>
      <xdr:col>0</xdr:col>
      <xdr:colOff>0</xdr:colOff>
      <xdr:row>0</xdr:row>
      <xdr:rowOff>0</xdr:rowOff>
    </xdr:from>
    <xdr:to>
      <xdr:col>12</xdr:col>
      <xdr:colOff>85725</xdr:colOff>
      <xdr:row>6</xdr:row>
      <xdr:rowOff>123825</xdr:rowOff>
    </xdr:to>
    <xdr:pic>
      <xdr:nvPicPr>
        <xdr:cNvPr id="341" name="ID_A0B6DC32F8F1478F9CC3EC37BDC7044F"/>
        <xdr:cNvPicPr>
          <a:picLocks noChangeAspect="1"/>
        </xdr:cNvPicPr>
      </xdr:nvPicPr>
      <xdr:blipFill>
        <a:blip r:embed="rId60"/>
        <a:stretch>
          <a:fillRect/>
        </a:stretch>
      </xdr:blipFill>
      <xdr:spPr>
        <a:xfrm>
          <a:off x="13330555" y="19742785"/>
          <a:ext cx="8315325" cy="1209675"/>
        </a:xfrm>
        <a:prstGeom prst="rect">
          <a:avLst/>
        </a:prstGeom>
        <a:noFill/>
        <a:ln w="9525">
          <a:noFill/>
        </a:ln>
      </xdr:spPr>
    </xdr:pic>
    <xdr:clientData/>
  </xdr:twoCellAnchor>
  <xdr:twoCellAnchor editAs="oneCell">
    <xdr:from>
      <xdr:col>0</xdr:col>
      <xdr:colOff>0</xdr:colOff>
      <xdr:row>0</xdr:row>
      <xdr:rowOff>0</xdr:rowOff>
    </xdr:from>
    <xdr:to>
      <xdr:col>12</xdr:col>
      <xdr:colOff>180975</xdr:colOff>
      <xdr:row>16</xdr:row>
      <xdr:rowOff>161925</xdr:rowOff>
    </xdr:to>
    <xdr:pic>
      <xdr:nvPicPr>
        <xdr:cNvPr id="342" name="ID_F6B00ED1462D416FA918548B8F330838"/>
        <xdr:cNvPicPr>
          <a:picLocks noChangeAspect="1"/>
        </xdr:cNvPicPr>
      </xdr:nvPicPr>
      <xdr:blipFill>
        <a:blip r:embed="rId61"/>
        <a:stretch>
          <a:fillRect/>
        </a:stretch>
      </xdr:blipFill>
      <xdr:spPr>
        <a:xfrm>
          <a:off x="13330555" y="20580985"/>
          <a:ext cx="8410575" cy="3057525"/>
        </a:xfrm>
        <a:prstGeom prst="rect">
          <a:avLst/>
        </a:prstGeom>
        <a:noFill/>
        <a:ln w="9525">
          <a:noFill/>
        </a:ln>
      </xdr:spPr>
    </xdr:pic>
    <xdr:clientData/>
  </xdr:twoCellAnchor>
  <xdr:twoCellAnchor editAs="oneCell">
    <xdr:from>
      <xdr:col>0</xdr:col>
      <xdr:colOff>0</xdr:colOff>
      <xdr:row>0</xdr:row>
      <xdr:rowOff>0</xdr:rowOff>
    </xdr:from>
    <xdr:to>
      <xdr:col>12</xdr:col>
      <xdr:colOff>161925</xdr:colOff>
      <xdr:row>11</xdr:row>
      <xdr:rowOff>152400</xdr:rowOff>
    </xdr:to>
    <xdr:pic>
      <xdr:nvPicPr>
        <xdr:cNvPr id="343" name="ID_A281B2AE37DA42EB97720516F6FBD382"/>
        <xdr:cNvPicPr>
          <a:picLocks noChangeAspect="1"/>
        </xdr:cNvPicPr>
      </xdr:nvPicPr>
      <xdr:blipFill>
        <a:blip r:embed="rId62"/>
        <a:stretch>
          <a:fillRect/>
        </a:stretch>
      </xdr:blipFill>
      <xdr:spPr>
        <a:xfrm>
          <a:off x="13330555" y="21419185"/>
          <a:ext cx="8391525" cy="2143125"/>
        </a:xfrm>
        <a:prstGeom prst="rect">
          <a:avLst/>
        </a:prstGeom>
        <a:noFill/>
        <a:ln w="9525">
          <a:noFill/>
        </a:ln>
      </xdr:spPr>
    </xdr:pic>
    <xdr:clientData/>
  </xdr:twoCellAnchor>
  <xdr:twoCellAnchor editAs="oneCell">
    <xdr:from>
      <xdr:col>0</xdr:col>
      <xdr:colOff>0</xdr:colOff>
      <xdr:row>0</xdr:row>
      <xdr:rowOff>0</xdr:rowOff>
    </xdr:from>
    <xdr:to>
      <xdr:col>12</xdr:col>
      <xdr:colOff>219075</xdr:colOff>
      <xdr:row>16</xdr:row>
      <xdr:rowOff>171450</xdr:rowOff>
    </xdr:to>
    <xdr:pic>
      <xdr:nvPicPr>
        <xdr:cNvPr id="344" name="ID_47C949AF2B5146C68C54BE786CA74B45"/>
        <xdr:cNvPicPr>
          <a:picLocks noChangeAspect="1"/>
        </xdr:cNvPicPr>
      </xdr:nvPicPr>
      <xdr:blipFill>
        <a:blip r:embed="rId63"/>
        <a:stretch>
          <a:fillRect/>
        </a:stretch>
      </xdr:blipFill>
      <xdr:spPr>
        <a:xfrm>
          <a:off x="13330555" y="31477585"/>
          <a:ext cx="8448675" cy="3067050"/>
        </a:xfrm>
        <a:prstGeom prst="rect">
          <a:avLst/>
        </a:prstGeom>
        <a:noFill/>
        <a:ln w="9525">
          <a:noFill/>
        </a:ln>
      </xdr:spPr>
    </xdr:pic>
    <xdr:clientData/>
  </xdr:twoCellAnchor>
  <xdr:twoCellAnchor editAs="oneCell">
    <xdr:from>
      <xdr:col>0</xdr:col>
      <xdr:colOff>0</xdr:colOff>
      <xdr:row>0</xdr:row>
      <xdr:rowOff>0</xdr:rowOff>
    </xdr:from>
    <xdr:to>
      <xdr:col>12</xdr:col>
      <xdr:colOff>171450</xdr:colOff>
      <xdr:row>16</xdr:row>
      <xdr:rowOff>142875</xdr:rowOff>
    </xdr:to>
    <xdr:pic>
      <xdr:nvPicPr>
        <xdr:cNvPr id="345" name="ID_C9C22360213648DA9E4E59A848982297"/>
        <xdr:cNvPicPr>
          <a:picLocks noChangeAspect="1"/>
        </xdr:cNvPicPr>
      </xdr:nvPicPr>
      <xdr:blipFill>
        <a:blip r:embed="rId64"/>
        <a:stretch>
          <a:fillRect/>
        </a:stretch>
      </xdr:blipFill>
      <xdr:spPr>
        <a:xfrm>
          <a:off x="13330555" y="21838285"/>
          <a:ext cx="8401050" cy="3038475"/>
        </a:xfrm>
        <a:prstGeom prst="rect">
          <a:avLst/>
        </a:prstGeom>
        <a:noFill/>
        <a:ln w="9525">
          <a:noFill/>
        </a:ln>
      </xdr:spPr>
    </xdr:pic>
    <xdr:clientData/>
  </xdr:twoCellAnchor>
  <xdr:twoCellAnchor editAs="oneCell">
    <xdr:from>
      <xdr:col>0</xdr:col>
      <xdr:colOff>0</xdr:colOff>
      <xdr:row>0</xdr:row>
      <xdr:rowOff>0</xdr:rowOff>
    </xdr:from>
    <xdr:to>
      <xdr:col>12</xdr:col>
      <xdr:colOff>95250</xdr:colOff>
      <xdr:row>8</xdr:row>
      <xdr:rowOff>9525</xdr:rowOff>
    </xdr:to>
    <xdr:pic>
      <xdr:nvPicPr>
        <xdr:cNvPr id="346" name="ID_9CDD033289904DB5A89D4F4C90B0789B"/>
        <xdr:cNvPicPr>
          <a:picLocks noChangeAspect="1"/>
        </xdr:cNvPicPr>
      </xdr:nvPicPr>
      <xdr:blipFill>
        <a:blip r:embed="rId65"/>
        <a:stretch>
          <a:fillRect/>
        </a:stretch>
      </xdr:blipFill>
      <xdr:spPr>
        <a:xfrm>
          <a:off x="13330555" y="22257385"/>
          <a:ext cx="8324850" cy="1457325"/>
        </a:xfrm>
        <a:prstGeom prst="rect">
          <a:avLst/>
        </a:prstGeom>
        <a:noFill/>
        <a:ln w="9525">
          <a:noFill/>
        </a:ln>
      </xdr:spPr>
    </xdr:pic>
    <xdr:clientData/>
  </xdr:twoCellAnchor>
  <xdr:twoCellAnchor editAs="oneCell">
    <xdr:from>
      <xdr:col>0</xdr:col>
      <xdr:colOff>0</xdr:colOff>
      <xdr:row>0</xdr:row>
      <xdr:rowOff>0</xdr:rowOff>
    </xdr:from>
    <xdr:to>
      <xdr:col>12</xdr:col>
      <xdr:colOff>180975</xdr:colOff>
      <xdr:row>11</xdr:row>
      <xdr:rowOff>85725</xdr:rowOff>
    </xdr:to>
    <xdr:pic>
      <xdr:nvPicPr>
        <xdr:cNvPr id="347" name="ID_82DA22E17A4949DFBF2299250D519F08"/>
        <xdr:cNvPicPr>
          <a:picLocks noChangeAspect="1"/>
        </xdr:cNvPicPr>
      </xdr:nvPicPr>
      <xdr:blipFill>
        <a:blip r:embed="rId66"/>
        <a:stretch>
          <a:fillRect/>
        </a:stretch>
      </xdr:blipFill>
      <xdr:spPr>
        <a:xfrm>
          <a:off x="13330555" y="23095585"/>
          <a:ext cx="8410575" cy="2076450"/>
        </a:xfrm>
        <a:prstGeom prst="rect">
          <a:avLst/>
        </a:prstGeom>
        <a:noFill/>
        <a:ln w="9525">
          <a:noFill/>
        </a:ln>
      </xdr:spPr>
    </xdr:pic>
    <xdr:clientData/>
  </xdr:twoCellAnchor>
  <xdr:twoCellAnchor editAs="oneCell">
    <xdr:from>
      <xdr:col>0</xdr:col>
      <xdr:colOff>0</xdr:colOff>
      <xdr:row>0</xdr:row>
      <xdr:rowOff>0</xdr:rowOff>
    </xdr:from>
    <xdr:to>
      <xdr:col>12</xdr:col>
      <xdr:colOff>123825</xdr:colOff>
      <xdr:row>11</xdr:row>
      <xdr:rowOff>57150</xdr:rowOff>
    </xdr:to>
    <xdr:pic>
      <xdr:nvPicPr>
        <xdr:cNvPr id="348" name="ID_7B61720C15CC45BBBA7D9515D9D944D1"/>
        <xdr:cNvPicPr>
          <a:picLocks noChangeAspect="1"/>
        </xdr:cNvPicPr>
      </xdr:nvPicPr>
      <xdr:blipFill>
        <a:blip r:embed="rId67"/>
        <a:stretch>
          <a:fillRect/>
        </a:stretch>
      </xdr:blipFill>
      <xdr:spPr>
        <a:xfrm>
          <a:off x="13330555" y="24771985"/>
          <a:ext cx="8353425" cy="2047875"/>
        </a:xfrm>
        <a:prstGeom prst="rect">
          <a:avLst/>
        </a:prstGeom>
        <a:noFill/>
        <a:ln w="9525">
          <a:noFill/>
        </a:ln>
      </xdr:spPr>
    </xdr:pic>
    <xdr:clientData/>
  </xdr:twoCellAnchor>
  <xdr:twoCellAnchor editAs="oneCell">
    <xdr:from>
      <xdr:col>0</xdr:col>
      <xdr:colOff>0</xdr:colOff>
      <xdr:row>0</xdr:row>
      <xdr:rowOff>0</xdr:rowOff>
    </xdr:from>
    <xdr:to>
      <xdr:col>12</xdr:col>
      <xdr:colOff>133350</xdr:colOff>
      <xdr:row>16</xdr:row>
      <xdr:rowOff>66675</xdr:rowOff>
    </xdr:to>
    <xdr:pic>
      <xdr:nvPicPr>
        <xdr:cNvPr id="349" name="ID_5792D612C8214D688F21E8D568AE6584"/>
        <xdr:cNvPicPr>
          <a:picLocks noChangeAspect="1"/>
        </xdr:cNvPicPr>
      </xdr:nvPicPr>
      <xdr:blipFill>
        <a:blip r:embed="rId68"/>
        <a:stretch>
          <a:fillRect/>
        </a:stretch>
      </xdr:blipFill>
      <xdr:spPr>
        <a:xfrm>
          <a:off x="13330555" y="26029285"/>
          <a:ext cx="8362950" cy="2962275"/>
        </a:xfrm>
        <a:prstGeom prst="rect">
          <a:avLst/>
        </a:prstGeom>
        <a:noFill/>
        <a:ln w="9525">
          <a:noFill/>
        </a:ln>
      </xdr:spPr>
    </xdr:pic>
    <xdr:clientData/>
  </xdr:twoCellAnchor>
  <xdr:twoCellAnchor editAs="oneCell">
    <xdr:from>
      <xdr:col>0</xdr:col>
      <xdr:colOff>0</xdr:colOff>
      <xdr:row>0</xdr:row>
      <xdr:rowOff>0</xdr:rowOff>
    </xdr:from>
    <xdr:to>
      <xdr:col>12</xdr:col>
      <xdr:colOff>190500</xdr:colOff>
      <xdr:row>16</xdr:row>
      <xdr:rowOff>142875</xdr:rowOff>
    </xdr:to>
    <xdr:pic>
      <xdr:nvPicPr>
        <xdr:cNvPr id="350" name="ID_6D4A49587C00401D9267A9EA13000ED4"/>
        <xdr:cNvPicPr>
          <a:picLocks noChangeAspect="1"/>
        </xdr:cNvPicPr>
      </xdr:nvPicPr>
      <xdr:blipFill>
        <a:blip r:embed="rId69"/>
        <a:stretch>
          <a:fillRect/>
        </a:stretch>
      </xdr:blipFill>
      <xdr:spPr>
        <a:xfrm>
          <a:off x="13330555" y="27286585"/>
          <a:ext cx="8420100" cy="3038475"/>
        </a:xfrm>
        <a:prstGeom prst="rect">
          <a:avLst/>
        </a:prstGeom>
        <a:noFill/>
        <a:ln w="9525">
          <a:noFill/>
        </a:ln>
      </xdr:spPr>
    </xdr:pic>
    <xdr:clientData/>
  </xdr:twoCellAnchor>
  <xdr:twoCellAnchor editAs="oneCell">
    <xdr:from>
      <xdr:col>0</xdr:col>
      <xdr:colOff>0</xdr:colOff>
      <xdr:row>0</xdr:row>
      <xdr:rowOff>0</xdr:rowOff>
    </xdr:from>
    <xdr:to>
      <xdr:col>15</xdr:col>
      <xdr:colOff>409575</xdr:colOff>
      <xdr:row>23</xdr:row>
      <xdr:rowOff>19050</xdr:rowOff>
    </xdr:to>
    <xdr:pic>
      <xdr:nvPicPr>
        <xdr:cNvPr id="351" name="ID_4A0B6845EFFA4AF096B0A281CF6CE1D4"/>
        <xdr:cNvPicPr>
          <a:picLocks noChangeAspect="1"/>
        </xdr:cNvPicPr>
      </xdr:nvPicPr>
      <xdr:blipFill>
        <a:blip r:embed="rId70"/>
        <a:stretch>
          <a:fillRect/>
        </a:stretch>
      </xdr:blipFill>
      <xdr:spPr>
        <a:xfrm>
          <a:off x="13949680" y="28648660"/>
          <a:ext cx="10696575" cy="4181475"/>
        </a:xfrm>
        <a:prstGeom prst="rect">
          <a:avLst/>
        </a:prstGeom>
        <a:noFill/>
        <a:ln w="9525">
          <a:noFill/>
        </a:ln>
      </xdr:spPr>
    </xdr:pic>
    <xdr:clientData/>
  </xdr:twoCellAnchor>
  <xdr:twoCellAnchor editAs="oneCell">
    <xdr:from>
      <xdr:col>0</xdr:col>
      <xdr:colOff>0</xdr:colOff>
      <xdr:row>0</xdr:row>
      <xdr:rowOff>0</xdr:rowOff>
    </xdr:from>
    <xdr:to>
      <xdr:col>12</xdr:col>
      <xdr:colOff>209550</xdr:colOff>
      <xdr:row>16</xdr:row>
      <xdr:rowOff>123825</xdr:rowOff>
    </xdr:to>
    <xdr:pic>
      <xdr:nvPicPr>
        <xdr:cNvPr id="352" name="ID_CADAF501B3D74579A8FB417CF1A89334"/>
        <xdr:cNvPicPr>
          <a:picLocks noChangeAspect="1"/>
        </xdr:cNvPicPr>
      </xdr:nvPicPr>
      <xdr:blipFill>
        <a:blip r:embed="rId71"/>
        <a:stretch>
          <a:fillRect/>
        </a:stretch>
      </xdr:blipFill>
      <xdr:spPr>
        <a:xfrm>
          <a:off x="13330555" y="30220285"/>
          <a:ext cx="8439150" cy="3019425"/>
        </a:xfrm>
        <a:prstGeom prst="rect">
          <a:avLst/>
        </a:prstGeom>
        <a:noFill/>
        <a:ln w="9525">
          <a:noFill/>
        </a:ln>
      </xdr:spPr>
    </xdr:pic>
    <xdr:clientData/>
  </xdr:twoCellAnchor>
  <xdr:twoCellAnchor editAs="oneCell">
    <xdr:from>
      <xdr:col>0</xdr:col>
      <xdr:colOff>0</xdr:colOff>
      <xdr:row>0</xdr:row>
      <xdr:rowOff>0</xdr:rowOff>
    </xdr:from>
    <xdr:to>
      <xdr:col>12</xdr:col>
      <xdr:colOff>238125</xdr:colOff>
      <xdr:row>16</xdr:row>
      <xdr:rowOff>133350</xdr:rowOff>
    </xdr:to>
    <xdr:pic>
      <xdr:nvPicPr>
        <xdr:cNvPr id="353" name="ID_B339C2CA3B02419B936FAA85FA27986F"/>
        <xdr:cNvPicPr>
          <a:picLocks noChangeAspect="1"/>
        </xdr:cNvPicPr>
      </xdr:nvPicPr>
      <xdr:blipFill>
        <a:blip r:embed="rId72"/>
        <a:stretch>
          <a:fillRect/>
        </a:stretch>
      </xdr:blipFill>
      <xdr:spPr>
        <a:xfrm>
          <a:off x="13330555" y="31896685"/>
          <a:ext cx="8467725" cy="3028950"/>
        </a:xfrm>
        <a:prstGeom prst="rect">
          <a:avLst/>
        </a:prstGeom>
        <a:noFill/>
        <a:ln w="9525">
          <a:noFill/>
        </a:ln>
      </xdr:spPr>
    </xdr:pic>
    <xdr:clientData/>
  </xdr:twoCellAnchor>
  <xdr:twoCellAnchor editAs="oneCell">
    <xdr:from>
      <xdr:col>0</xdr:col>
      <xdr:colOff>0</xdr:colOff>
      <xdr:row>0</xdr:row>
      <xdr:rowOff>0</xdr:rowOff>
    </xdr:from>
    <xdr:to>
      <xdr:col>12</xdr:col>
      <xdr:colOff>209550</xdr:colOff>
      <xdr:row>16</xdr:row>
      <xdr:rowOff>171450</xdr:rowOff>
    </xdr:to>
    <xdr:pic>
      <xdr:nvPicPr>
        <xdr:cNvPr id="354" name="ID_103C171B8C16428D9346246809FC31AB"/>
        <xdr:cNvPicPr>
          <a:picLocks noChangeAspect="1"/>
        </xdr:cNvPicPr>
      </xdr:nvPicPr>
      <xdr:blipFill>
        <a:blip r:embed="rId73"/>
        <a:stretch>
          <a:fillRect/>
        </a:stretch>
      </xdr:blipFill>
      <xdr:spPr>
        <a:xfrm>
          <a:off x="13330555" y="32315785"/>
          <a:ext cx="8439150" cy="3067050"/>
        </a:xfrm>
        <a:prstGeom prst="rect">
          <a:avLst/>
        </a:prstGeom>
        <a:noFill/>
        <a:ln w="9525">
          <a:noFill/>
        </a:ln>
      </xdr:spPr>
    </xdr:pic>
    <xdr:clientData/>
  </xdr:twoCellAnchor>
  <xdr:twoCellAnchor editAs="oneCell">
    <xdr:from>
      <xdr:col>0</xdr:col>
      <xdr:colOff>0</xdr:colOff>
      <xdr:row>0</xdr:row>
      <xdr:rowOff>0</xdr:rowOff>
    </xdr:from>
    <xdr:to>
      <xdr:col>12</xdr:col>
      <xdr:colOff>200025</xdr:colOff>
      <xdr:row>16</xdr:row>
      <xdr:rowOff>142875</xdr:rowOff>
    </xdr:to>
    <xdr:pic>
      <xdr:nvPicPr>
        <xdr:cNvPr id="355" name="ID_2051BDE037994B00BEA6882C9028938E"/>
        <xdr:cNvPicPr>
          <a:picLocks noChangeAspect="1"/>
        </xdr:cNvPicPr>
      </xdr:nvPicPr>
      <xdr:blipFill>
        <a:blip r:embed="rId74"/>
        <a:stretch>
          <a:fillRect/>
        </a:stretch>
      </xdr:blipFill>
      <xdr:spPr>
        <a:xfrm>
          <a:off x="13330555" y="32734885"/>
          <a:ext cx="8429625" cy="3038475"/>
        </a:xfrm>
        <a:prstGeom prst="rect">
          <a:avLst/>
        </a:prstGeom>
        <a:noFill/>
        <a:ln w="9525">
          <a:noFill/>
        </a:ln>
      </xdr:spPr>
    </xdr:pic>
    <xdr:clientData/>
  </xdr:twoCellAnchor>
  <xdr:twoCellAnchor editAs="oneCell">
    <xdr:from>
      <xdr:col>0</xdr:col>
      <xdr:colOff>0</xdr:colOff>
      <xdr:row>0</xdr:row>
      <xdr:rowOff>0</xdr:rowOff>
    </xdr:from>
    <xdr:to>
      <xdr:col>12</xdr:col>
      <xdr:colOff>209550</xdr:colOff>
      <xdr:row>16</xdr:row>
      <xdr:rowOff>161925</xdr:rowOff>
    </xdr:to>
    <xdr:pic>
      <xdr:nvPicPr>
        <xdr:cNvPr id="356" name="ID_F7D14AB8A702415B8E86E0FF8F2ACFFD"/>
        <xdr:cNvPicPr>
          <a:picLocks noChangeAspect="1"/>
        </xdr:cNvPicPr>
      </xdr:nvPicPr>
      <xdr:blipFill>
        <a:blip r:embed="rId75"/>
        <a:stretch>
          <a:fillRect/>
        </a:stretch>
      </xdr:blipFill>
      <xdr:spPr>
        <a:xfrm>
          <a:off x="13330555" y="33153985"/>
          <a:ext cx="8439150" cy="3057525"/>
        </a:xfrm>
        <a:prstGeom prst="rect">
          <a:avLst/>
        </a:prstGeom>
        <a:noFill/>
        <a:ln w="9525">
          <a:noFill/>
        </a:ln>
      </xdr:spPr>
    </xdr:pic>
    <xdr:clientData/>
  </xdr:twoCellAnchor>
  <xdr:twoCellAnchor editAs="oneCell">
    <xdr:from>
      <xdr:col>0</xdr:col>
      <xdr:colOff>0</xdr:colOff>
      <xdr:row>0</xdr:row>
      <xdr:rowOff>0</xdr:rowOff>
    </xdr:from>
    <xdr:to>
      <xdr:col>12</xdr:col>
      <xdr:colOff>114300</xdr:colOff>
      <xdr:row>16</xdr:row>
      <xdr:rowOff>133350</xdr:rowOff>
    </xdr:to>
    <xdr:pic>
      <xdr:nvPicPr>
        <xdr:cNvPr id="357" name="ID_13320A7DE0814DEB87C18A4ED5468F6C"/>
        <xdr:cNvPicPr>
          <a:picLocks noChangeAspect="1"/>
        </xdr:cNvPicPr>
      </xdr:nvPicPr>
      <xdr:blipFill>
        <a:blip r:embed="rId76"/>
        <a:stretch>
          <a:fillRect/>
        </a:stretch>
      </xdr:blipFill>
      <xdr:spPr>
        <a:xfrm>
          <a:off x="13330555" y="33992185"/>
          <a:ext cx="8343900" cy="3028950"/>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30</xdr:row>
      <xdr:rowOff>104775</xdr:rowOff>
    </xdr:to>
    <xdr:pic>
      <xdr:nvPicPr>
        <xdr:cNvPr id="358" name="ID_83006A143AA8439E85F1826ED03A460C"/>
        <xdr:cNvPicPr>
          <a:picLocks noChangeAspect="1"/>
        </xdr:cNvPicPr>
      </xdr:nvPicPr>
      <xdr:blipFill>
        <a:blip r:embed="rId77"/>
        <a:stretch>
          <a:fillRect/>
        </a:stretch>
      </xdr:blipFill>
      <xdr:spPr>
        <a:xfrm>
          <a:off x="13330555" y="35249485"/>
          <a:ext cx="7448550" cy="5534025"/>
        </a:xfrm>
        <a:prstGeom prst="rect">
          <a:avLst/>
        </a:prstGeom>
        <a:noFill/>
        <a:ln w="9525">
          <a:noFill/>
        </a:ln>
      </xdr:spPr>
    </xdr:pic>
    <xdr:clientData/>
  </xdr:twoCellAnchor>
  <xdr:twoCellAnchor editAs="oneCell">
    <xdr:from>
      <xdr:col>0</xdr:col>
      <xdr:colOff>0</xdr:colOff>
      <xdr:row>0</xdr:row>
      <xdr:rowOff>0</xdr:rowOff>
    </xdr:from>
    <xdr:to>
      <xdr:col>12</xdr:col>
      <xdr:colOff>219075</xdr:colOff>
      <xdr:row>10</xdr:row>
      <xdr:rowOff>133350</xdr:rowOff>
    </xdr:to>
    <xdr:pic>
      <xdr:nvPicPr>
        <xdr:cNvPr id="359" name="ID_67CB0C891B7248D89832EE71A4F01F6C"/>
        <xdr:cNvPicPr>
          <a:picLocks noChangeAspect="1"/>
        </xdr:cNvPicPr>
      </xdr:nvPicPr>
      <xdr:blipFill>
        <a:blip r:embed="rId78"/>
        <a:stretch>
          <a:fillRect/>
        </a:stretch>
      </xdr:blipFill>
      <xdr:spPr>
        <a:xfrm>
          <a:off x="13330555" y="35878135"/>
          <a:ext cx="8448675" cy="1943100"/>
        </a:xfrm>
        <a:prstGeom prst="rect">
          <a:avLst/>
        </a:prstGeom>
        <a:noFill/>
        <a:ln w="9525">
          <a:noFill/>
        </a:ln>
      </xdr:spPr>
    </xdr:pic>
    <xdr:clientData/>
  </xdr:twoCellAnchor>
  <xdr:twoCellAnchor editAs="oneCell">
    <xdr:from>
      <xdr:col>0</xdr:col>
      <xdr:colOff>0</xdr:colOff>
      <xdr:row>0</xdr:row>
      <xdr:rowOff>0</xdr:rowOff>
    </xdr:from>
    <xdr:to>
      <xdr:col>12</xdr:col>
      <xdr:colOff>161925</xdr:colOff>
      <xdr:row>17</xdr:row>
      <xdr:rowOff>9525</xdr:rowOff>
    </xdr:to>
    <xdr:pic>
      <xdr:nvPicPr>
        <xdr:cNvPr id="360" name="ID_5D9D7CBFEAEC4E188DFA33AA23B06386"/>
        <xdr:cNvPicPr>
          <a:picLocks noChangeAspect="1"/>
        </xdr:cNvPicPr>
      </xdr:nvPicPr>
      <xdr:blipFill>
        <a:blip r:embed="rId79"/>
        <a:stretch>
          <a:fillRect/>
        </a:stretch>
      </xdr:blipFill>
      <xdr:spPr>
        <a:xfrm>
          <a:off x="13330555" y="36297235"/>
          <a:ext cx="8391525" cy="3086100"/>
        </a:xfrm>
        <a:prstGeom prst="rect">
          <a:avLst/>
        </a:prstGeom>
        <a:noFill/>
        <a:ln w="9525">
          <a:noFill/>
        </a:ln>
      </xdr:spPr>
    </xdr:pic>
    <xdr:clientData/>
  </xdr:twoCellAnchor>
  <xdr:twoCellAnchor editAs="oneCell">
    <xdr:from>
      <xdr:col>0</xdr:col>
      <xdr:colOff>0</xdr:colOff>
      <xdr:row>0</xdr:row>
      <xdr:rowOff>0</xdr:rowOff>
    </xdr:from>
    <xdr:to>
      <xdr:col>12</xdr:col>
      <xdr:colOff>152400</xdr:colOff>
      <xdr:row>8</xdr:row>
      <xdr:rowOff>19050</xdr:rowOff>
    </xdr:to>
    <xdr:pic>
      <xdr:nvPicPr>
        <xdr:cNvPr id="361" name="ID_8F3D80D65DFA4588BF6E1FEA0D9DE8D7"/>
        <xdr:cNvPicPr>
          <a:picLocks noChangeAspect="1"/>
        </xdr:cNvPicPr>
      </xdr:nvPicPr>
      <xdr:blipFill>
        <a:blip r:embed="rId80"/>
        <a:stretch>
          <a:fillRect/>
        </a:stretch>
      </xdr:blipFill>
      <xdr:spPr>
        <a:xfrm>
          <a:off x="13330555" y="36925885"/>
          <a:ext cx="8382000" cy="1466850"/>
        </a:xfrm>
        <a:prstGeom prst="rect">
          <a:avLst/>
        </a:prstGeom>
        <a:noFill/>
        <a:ln w="9525">
          <a:noFill/>
        </a:ln>
      </xdr:spPr>
    </xdr:pic>
    <xdr:clientData/>
  </xdr:twoCellAnchor>
  <xdr:twoCellAnchor editAs="oneCell">
    <xdr:from>
      <xdr:col>0</xdr:col>
      <xdr:colOff>0</xdr:colOff>
      <xdr:row>0</xdr:row>
      <xdr:rowOff>0</xdr:rowOff>
    </xdr:from>
    <xdr:to>
      <xdr:col>12</xdr:col>
      <xdr:colOff>161925</xdr:colOff>
      <xdr:row>17</xdr:row>
      <xdr:rowOff>0</xdr:rowOff>
    </xdr:to>
    <xdr:pic>
      <xdr:nvPicPr>
        <xdr:cNvPr id="362" name="ID_5222704B41E54CF4B01D31C5A48359F7"/>
        <xdr:cNvPicPr>
          <a:picLocks noChangeAspect="1"/>
        </xdr:cNvPicPr>
      </xdr:nvPicPr>
      <xdr:blipFill>
        <a:blip r:embed="rId81"/>
        <a:stretch>
          <a:fillRect/>
        </a:stretch>
      </xdr:blipFill>
      <xdr:spPr>
        <a:xfrm>
          <a:off x="13330555" y="37344985"/>
          <a:ext cx="8391525" cy="3076575"/>
        </a:xfrm>
        <a:prstGeom prst="rect">
          <a:avLst/>
        </a:prstGeom>
        <a:noFill/>
        <a:ln w="9525">
          <a:noFill/>
        </a:ln>
      </xdr:spPr>
    </xdr:pic>
    <xdr:clientData/>
  </xdr:twoCellAnchor>
  <xdr:twoCellAnchor editAs="oneCell">
    <xdr:from>
      <xdr:col>0</xdr:col>
      <xdr:colOff>0</xdr:colOff>
      <xdr:row>0</xdr:row>
      <xdr:rowOff>0</xdr:rowOff>
    </xdr:from>
    <xdr:to>
      <xdr:col>10</xdr:col>
      <xdr:colOff>104775</xdr:colOff>
      <xdr:row>16</xdr:row>
      <xdr:rowOff>133350</xdr:rowOff>
    </xdr:to>
    <xdr:pic>
      <xdr:nvPicPr>
        <xdr:cNvPr id="477" name="ID_E24B14920C4C40A5BA793053926BB793"/>
        <xdr:cNvPicPr>
          <a:picLocks noChangeAspect="1"/>
        </xdr:cNvPicPr>
      </xdr:nvPicPr>
      <xdr:blipFill>
        <a:blip r:embed="rId82"/>
        <a:stretch>
          <a:fillRect/>
        </a:stretch>
      </xdr:blipFill>
      <xdr:spPr>
        <a:xfrm>
          <a:off x="13330555" y="69615685"/>
          <a:ext cx="6962775" cy="3028950"/>
        </a:xfrm>
        <a:prstGeom prst="rect">
          <a:avLst/>
        </a:prstGeom>
        <a:noFill/>
        <a:ln w="9525">
          <a:noFill/>
        </a:ln>
      </xdr:spPr>
    </xdr:pic>
    <xdr:clientData/>
  </xdr:twoCellAnchor>
  <xdr:twoCellAnchor editAs="oneCell">
    <xdr:from>
      <xdr:col>0</xdr:col>
      <xdr:colOff>0</xdr:colOff>
      <xdr:row>0</xdr:row>
      <xdr:rowOff>0</xdr:rowOff>
    </xdr:from>
    <xdr:to>
      <xdr:col>12</xdr:col>
      <xdr:colOff>142875</xdr:colOff>
      <xdr:row>16</xdr:row>
      <xdr:rowOff>142875</xdr:rowOff>
    </xdr:to>
    <xdr:pic>
      <xdr:nvPicPr>
        <xdr:cNvPr id="478" name="ID_BE5C6FB598B148F4BA0F40DBE3F69895"/>
        <xdr:cNvPicPr>
          <a:picLocks noChangeAspect="1"/>
        </xdr:cNvPicPr>
      </xdr:nvPicPr>
      <xdr:blipFill>
        <a:blip r:embed="rId83"/>
        <a:stretch>
          <a:fillRect/>
        </a:stretch>
      </xdr:blipFill>
      <xdr:spPr>
        <a:xfrm>
          <a:off x="13330555" y="38811835"/>
          <a:ext cx="8372475" cy="3038475"/>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13</xdr:row>
      <xdr:rowOff>66675</xdr:rowOff>
    </xdr:to>
    <xdr:pic>
      <xdr:nvPicPr>
        <xdr:cNvPr id="479" name="ID_A6AF2018B0674B6CB782FFF2BB8BCAEB"/>
        <xdr:cNvPicPr>
          <a:picLocks noChangeAspect="1"/>
        </xdr:cNvPicPr>
      </xdr:nvPicPr>
      <xdr:blipFill>
        <a:blip r:embed="rId84"/>
        <a:stretch>
          <a:fillRect/>
        </a:stretch>
      </xdr:blipFill>
      <xdr:spPr>
        <a:xfrm>
          <a:off x="13330555" y="48451135"/>
          <a:ext cx="7439025" cy="2419350"/>
        </a:xfrm>
        <a:prstGeom prst="rect">
          <a:avLst/>
        </a:prstGeom>
        <a:noFill/>
        <a:ln w="9525">
          <a:noFill/>
        </a:ln>
      </xdr:spPr>
    </xdr:pic>
    <xdr:clientData/>
  </xdr:twoCellAnchor>
  <xdr:twoCellAnchor editAs="oneCell">
    <xdr:from>
      <xdr:col>0</xdr:col>
      <xdr:colOff>0</xdr:colOff>
      <xdr:row>0</xdr:row>
      <xdr:rowOff>0</xdr:rowOff>
    </xdr:from>
    <xdr:to>
      <xdr:col>10</xdr:col>
      <xdr:colOff>95250</xdr:colOff>
      <xdr:row>17</xdr:row>
      <xdr:rowOff>9525</xdr:rowOff>
    </xdr:to>
    <xdr:pic>
      <xdr:nvPicPr>
        <xdr:cNvPr id="480" name="ID_6451C331A0534170AD8A7C8E94CF31CC"/>
        <xdr:cNvPicPr>
          <a:picLocks noChangeAspect="1"/>
        </xdr:cNvPicPr>
      </xdr:nvPicPr>
      <xdr:blipFill>
        <a:blip r:embed="rId85"/>
        <a:stretch>
          <a:fillRect/>
        </a:stretch>
      </xdr:blipFill>
      <xdr:spPr>
        <a:xfrm>
          <a:off x="13330555" y="59347735"/>
          <a:ext cx="6953250" cy="3086100"/>
        </a:xfrm>
        <a:prstGeom prst="rect">
          <a:avLst/>
        </a:prstGeom>
        <a:noFill/>
        <a:ln w="9525">
          <a:noFill/>
        </a:ln>
      </xdr:spPr>
    </xdr:pic>
    <xdr:clientData/>
  </xdr:twoCellAnchor>
  <xdr:twoCellAnchor editAs="oneCell">
    <xdr:from>
      <xdr:col>0</xdr:col>
      <xdr:colOff>0</xdr:colOff>
      <xdr:row>0</xdr:row>
      <xdr:rowOff>0</xdr:rowOff>
    </xdr:from>
    <xdr:to>
      <xdr:col>11</xdr:col>
      <xdr:colOff>342900</xdr:colOff>
      <xdr:row>16</xdr:row>
      <xdr:rowOff>123825</xdr:rowOff>
    </xdr:to>
    <xdr:pic>
      <xdr:nvPicPr>
        <xdr:cNvPr id="481" name="ID_35C51EA646244DC1964E54D2714A360D"/>
        <xdr:cNvPicPr>
          <a:picLocks noChangeAspect="1"/>
        </xdr:cNvPicPr>
      </xdr:nvPicPr>
      <xdr:blipFill>
        <a:blip r:embed="rId86"/>
        <a:stretch>
          <a:fillRect/>
        </a:stretch>
      </xdr:blipFill>
      <xdr:spPr>
        <a:xfrm>
          <a:off x="13330555" y="48870235"/>
          <a:ext cx="7886700" cy="3019425"/>
        </a:xfrm>
        <a:prstGeom prst="rect">
          <a:avLst/>
        </a:prstGeom>
        <a:noFill/>
        <a:ln w="9525">
          <a:noFill/>
        </a:ln>
      </xdr:spPr>
    </xdr:pic>
    <xdr:clientData/>
  </xdr:twoCellAnchor>
  <xdr:twoCellAnchor editAs="oneCell">
    <xdr:from>
      <xdr:col>0</xdr:col>
      <xdr:colOff>0</xdr:colOff>
      <xdr:row>0</xdr:row>
      <xdr:rowOff>0</xdr:rowOff>
    </xdr:from>
    <xdr:to>
      <xdr:col>17</xdr:col>
      <xdr:colOff>600075</xdr:colOff>
      <xdr:row>37</xdr:row>
      <xdr:rowOff>47625</xdr:rowOff>
    </xdr:to>
    <xdr:pic>
      <xdr:nvPicPr>
        <xdr:cNvPr id="482" name="ID_8151D5CCF065424E84BACE0D291B6A42"/>
        <xdr:cNvPicPr>
          <a:picLocks noChangeAspect="1"/>
        </xdr:cNvPicPr>
      </xdr:nvPicPr>
      <xdr:blipFill>
        <a:blip r:embed="rId87"/>
        <a:stretch>
          <a:fillRect/>
        </a:stretch>
      </xdr:blipFill>
      <xdr:spPr>
        <a:xfrm>
          <a:off x="13549630" y="60424060"/>
          <a:ext cx="12258675" cy="6743700"/>
        </a:xfrm>
        <a:prstGeom prst="rect">
          <a:avLst/>
        </a:prstGeom>
        <a:noFill/>
        <a:ln w="9525">
          <a:noFill/>
        </a:ln>
      </xdr:spPr>
    </xdr:pic>
    <xdr:clientData/>
  </xdr:twoCellAnchor>
  <xdr:twoCellAnchor editAs="oneCell">
    <xdr:from>
      <xdr:col>0</xdr:col>
      <xdr:colOff>0</xdr:colOff>
      <xdr:row>0</xdr:row>
      <xdr:rowOff>0</xdr:rowOff>
    </xdr:from>
    <xdr:to>
      <xdr:col>12</xdr:col>
      <xdr:colOff>142875</xdr:colOff>
      <xdr:row>16</xdr:row>
      <xdr:rowOff>85725</xdr:rowOff>
    </xdr:to>
    <xdr:pic>
      <xdr:nvPicPr>
        <xdr:cNvPr id="483" name="ID_5654C55B7F404934A0E62C254B6797D5"/>
        <xdr:cNvPicPr>
          <a:picLocks noChangeAspect="1"/>
        </xdr:cNvPicPr>
      </xdr:nvPicPr>
      <xdr:blipFill>
        <a:blip r:embed="rId88"/>
        <a:stretch>
          <a:fillRect/>
        </a:stretch>
      </xdr:blipFill>
      <xdr:spPr>
        <a:xfrm>
          <a:off x="13330555" y="39230935"/>
          <a:ext cx="8372475" cy="2981325"/>
        </a:xfrm>
        <a:prstGeom prst="rect">
          <a:avLst/>
        </a:prstGeom>
        <a:noFill/>
        <a:ln w="9525">
          <a:noFill/>
        </a:ln>
      </xdr:spPr>
    </xdr:pic>
    <xdr:clientData/>
  </xdr:twoCellAnchor>
  <xdr:twoCellAnchor editAs="oneCell">
    <xdr:from>
      <xdr:col>0</xdr:col>
      <xdr:colOff>0</xdr:colOff>
      <xdr:row>0</xdr:row>
      <xdr:rowOff>0</xdr:rowOff>
    </xdr:from>
    <xdr:to>
      <xdr:col>9</xdr:col>
      <xdr:colOff>314325</xdr:colOff>
      <xdr:row>29</xdr:row>
      <xdr:rowOff>85725</xdr:rowOff>
    </xdr:to>
    <xdr:pic>
      <xdr:nvPicPr>
        <xdr:cNvPr id="484" name="ID_2161275BF53F4E6F9EC3AFC9EEAC7CD8"/>
        <xdr:cNvPicPr>
          <a:picLocks noChangeAspect="1"/>
        </xdr:cNvPicPr>
      </xdr:nvPicPr>
      <xdr:blipFill>
        <a:blip r:embed="rId89"/>
        <a:stretch>
          <a:fillRect/>
        </a:stretch>
      </xdr:blipFill>
      <xdr:spPr>
        <a:xfrm>
          <a:off x="13330555" y="40069135"/>
          <a:ext cx="6486525" cy="5334000"/>
        </a:xfrm>
        <a:prstGeom prst="rect">
          <a:avLst/>
        </a:prstGeom>
        <a:noFill/>
        <a:ln w="9525">
          <a:noFill/>
        </a:ln>
      </xdr:spPr>
    </xdr:pic>
    <xdr:clientData/>
  </xdr:twoCellAnchor>
  <xdr:twoCellAnchor editAs="oneCell">
    <xdr:from>
      <xdr:col>0</xdr:col>
      <xdr:colOff>0</xdr:colOff>
      <xdr:row>0</xdr:row>
      <xdr:rowOff>0</xdr:rowOff>
    </xdr:from>
    <xdr:to>
      <xdr:col>15</xdr:col>
      <xdr:colOff>638175</xdr:colOff>
      <xdr:row>26</xdr:row>
      <xdr:rowOff>0</xdr:rowOff>
    </xdr:to>
    <xdr:pic>
      <xdr:nvPicPr>
        <xdr:cNvPr id="485" name="ID_E5AD50F92DCE4F1E943A61413FF9BFEC"/>
        <xdr:cNvPicPr>
          <a:picLocks noChangeAspect="1"/>
        </xdr:cNvPicPr>
      </xdr:nvPicPr>
      <xdr:blipFill>
        <a:blip r:embed="rId90"/>
        <a:stretch>
          <a:fillRect/>
        </a:stretch>
      </xdr:blipFill>
      <xdr:spPr>
        <a:xfrm>
          <a:off x="13682980" y="49822735"/>
          <a:ext cx="10925175" cy="4705350"/>
        </a:xfrm>
        <a:prstGeom prst="rect">
          <a:avLst/>
        </a:prstGeom>
        <a:noFill/>
        <a:ln w="9525">
          <a:noFill/>
        </a:ln>
      </xdr:spPr>
    </xdr:pic>
    <xdr:clientData/>
  </xdr:twoCellAnchor>
  <xdr:twoCellAnchor editAs="oneCell">
    <xdr:from>
      <xdr:col>0</xdr:col>
      <xdr:colOff>0</xdr:colOff>
      <xdr:row>0</xdr:row>
      <xdr:rowOff>0</xdr:rowOff>
    </xdr:from>
    <xdr:to>
      <xdr:col>10</xdr:col>
      <xdr:colOff>523875</xdr:colOff>
      <xdr:row>21</xdr:row>
      <xdr:rowOff>47625</xdr:rowOff>
    </xdr:to>
    <xdr:pic>
      <xdr:nvPicPr>
        <xdr:cNvPr id="486" name="ID_9878578FB1174B908C3CC2C89F18919F"/>
        <xdr:cNvPicPr>
          <a:picLocks noChangeAspect="1"/>
        </xdr:cNvPicPr>
      </xdr:nvPicPr>
      <xdr:blipFill>
        <a:blip r:embed="rId91"/>
        <a:stretch>
          <a:fillRect/>
        </a:stretch>
      </xdr:blipFill>
      <xdr:spPr>
        <a:xfrm>
          <a:off x="13330555" y="61233685"/>
          <a:ext cx="7381875" cy="3848100"/>
        </a:xfrm>
        <a:prstGeom prst="rect">
          <a:avLst/>
        </a:prstGeom>
        <a:noFill/>
        <a:ln w="9525">
          <a:noFill/>
        </a:ln>
      </xdr:spPr>
    </xdr:pic>
    <xdr:clientData/>
  </xdr:twoCellAnchor>
  <xdr:twoCellAnchor editAs="oneCell">
    <xdr:from>
      <xdr:col>0</xdr:col>
      <xdr:colOff>0</xdr:colOff>
      <xdr:row>0</xdr:row>
      <xdr:rowOff>0</xdr:rowOff>
    </xdr:from>
    <xdr:to>
      <xdr:col>12</xdr:col>
      <xdr:colOff>123825</xdr:colOff>
      <xdr:row>16</xdr:row>
      <xdr:rowOff>123825</xdr:rowOff>
    </xdr:to>
    <xdr:pic>
      <xdr:nvPicPr>
        <xdr:cNvPr id="487" name="ID_FF51B419ACC2454B92EA6C3F80845232"/>
        <xdr:cNvPicPr>
          <a:picLocks noChangeAspect="1"/>
        </xdr:cNvPicPr>
      </xdr:nvPicPr>
      <xdr:blipFill>
        <a:blip r:embed="rId92"/>
        <a:stretch>
          <a:fillRect/>
        </a:stretch>
      </xdr:blipFill>
      <xdr:spPr>
        <a:xfrm>
          <a:off x="13330555" y="39650035"/>
          <a:ext cx="8353425" cy="3019425"/>
        </a:xfrm>
        <a:prstGeom prst="rect">
          <a:avLst/>
        </a:prstGeom>
        <a:noFill/>
        <a:ln w="9525">
          <a:noFill/>
        </a:ln>
      </xdr:spPr>
    </xdr:pic>
    <xdr:clientData/>
  </xdr:twoCellAnchor>
  <xdr:twoCellAnchor editAs="oneCell">
    <xdr:from>
      <xdr:col>0</xdr:col>
      <xdr:colOff>0</xdr:colOff>
      <xdr:row>0</xdr:row>
      <xdr:rowOff>0</xdr:rowOff>
    </xdr:from>
    <xdr:to>
      <xdr:col>12</xdr:col>
      <xdr:colOff>133350</xdr:colOff>
      <xdr:row>16</xdr:row>
      <xdr:rowOff>95250</xdr:rowOff>
    </xdr:to>
    <xdr:pic>
      <xdr:nvPicPr>
        <xdr:cNvPr id="488" name="ID_87D16593511745598A3B5190FC8B3730"/>
        <xdr:cNvPicPr>
          <a:picLocks noChangeAspect="1"/>
        </xdr:cNvPicPr>
      </xdr:nvPicPr>
      <xdr:blipFill>
        <a:blip r:embed="rId93"/>
        <a:stretch>
          <a:fillRect/>
        </a:stretch>
      </xdr:blipFill>
      <xdr:spPr>
        <a:xfrm>
          <a:off x="13330555" y="40488235"/>
          <a:ext cx="8362950" cy="2990850"/>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13</xdr:row>
      <xdr:rowOff>47625</xdr:rowOff>
    </xdr:to>
    <xdr:pic>
      <xdr:nvPicPr>
        <xdr:cNvPr id="489" name="ID_75F91EC129644C9D9758462EE0C655F6"/>
        <xdr:cNvPicPr>
          <a:picLocks noChangeAspect="1"/>
        </xdr:cNvPicPr>
      </xdr:nvPicPr>
      <xdr:blipFill>
        <a:blip r:embed="rId94"/>
        <a:stretch>
          <a:fillRect/>
        </a:stretch>
      </xdr:blipFill>
      <xdr:spPr>
        <a:xfrm>
          <a:off x="13330555" y="61652785"/>
          <a:ext cx="7429500" cy="2400300"/>
        </a:xfrm>
        <a:prstGeom prst="rect">
          <a:avLst/>
        </a:prstGeom>
        <a:noFill/>
        <a:ln w="9525">
          <a:noFill/>
        </a:ln>
      </xdr:spPr>
    </xdr:pic>
    <xdr:clientData/>
  </xdr:twoCellAnchor>
  <xdr:twoCellAnchor editAs="oneCell">
    <xdr:from>
      <xdr:col>0</xdr:col>
      <xdr:colOff>0</xdr:colOff>
      <xdr:row>0</xdr:row>
      <xdr:rowOff>0</xdr:rowOff>
    </xdr:from>
    <xdr:to>
      <xdr:col>10</xdr:col>
      <xdr:colOff>85725</xdr:colOff>
      <xdr:row>17</xdr:row>
      <xdr:rowOff>0</xdr:rowOff>
    </xdr:to>
    <xdr:pic>
      <xdr:nvPicPr>
        <xdr:cNvPr id="490" name="ID_4E3C89467F90491A9AB3CB2912887648"/>
        <xdr:cNvPicPr>
          <a:picLocks noChangeAspect="1"/>
        </xdr:cNvPicPr>
      </xdr:nvPicPr>
      <xdr:blipFill>
        <a:blip r:embed="rId95"/>
        <a:stretch>
          <a:fillRect/>
        </a:stretch>
      </xdr:blipFill>
      <xdr:spPr>
        <a:xfrm>
          <a:off x="13330555" y="62490985"/>
          <a:ext cx="6943725" cy="3076575"/>
        </a:xfrm>
        <a:prstGeom prst="rect">
          <a:avLst/>
        </a:prstGeom>
        <a:noFill/>
        <a:ln w="9525">
          <a:noFill/>
        </a:ln>
      </xdr:spPr>
    </xdr:pic>
    <xdr:clientData/>
  </xdr:twoCellAnchor>
  <xdr:twoCellAnchor editAs="oneCell">
    <xdr:from>
      <xdr:col>0</xdr:col>
      <xdr:colOff>0</xdr:colOff>
      <xdr:row>0</xdr:row>
      <xdr:rowOff>0</xdr:rowOff>
    </xdr:from>
    <xdr:to>
      <xdr:col>12</xdr:col>
      <xdr:colOff>114300</xdr:colOff>
      <xdr:row>16</xdr:row>
      <xdr:rowOff>142875</xdr:rowOff>
    </xdr:to>
    <xdr:pic>
      <xdr:nvPicPr>
        <xdr:cNvPr id="491" name="ID_C055F74E31E641C3A5D645BB3E5DB44E"/>
        <xdr:cNvPicPr>
          <a:picLocks noChangeAspect="1"/>
        </xdr:cNvPicPr>
      </xdr:nvPicPr>
      <xdr:blipFill>
        <a:blip r:embed="rId96"/>
        <a:stretch>
          <a:fillRect/>
        </a:stretch>
      </xdr:blipFill>
      <xdr:spPr>
        <a:xfrm>
          <a:off x="13330555" y="41326435"/>
          <a:ext cx="8343900" cy="3038475"/>
        </a:xfrm>
        <a:prstGeom prst="rect">
          <a:avLst/>
        </a:prstGeom>
        <a:noFill/>
        <a:ln w="9525">
          <a:noFill/>
        </a:ln>
      </xdr:spPr>
    </xdr:pic>
    <xdr:clientData/>
  </xdr:twoCellAnchor>
  <xdr:twoCellAnchor editAs="oneCell">
    <xdr:from>
      <xdr:col>0</xdr:col>
      <xdr:colOff>0</xdr:colOff>
      <xdr:row>0</xdr:row>
      <xdr:rowOff>0</xdr:rowOff>
    </xdr:from>
    <xdr:to>
      <xdr:col>11</xdr:col>
      <xdr:colOff>419100</xdr:colOff>
      <xdr:row>16</xdr:row>
      <xdr:rowOff>123825</xdr:rowOff>
    </xdr:to>
    <xdr:pic>
      <xdr:nvPicPr>
        <xdr:cNvPr id="492" name="ID_F485611BB4BF475EA0689D56FE943C39"/>
        <xdr:cNvPicPr>
          <a:picLocks noChangeAspect="1"/>
        </xdr:cNvPicPr>
      </xdr:nvPicPr>
      <xdr:blipFill>
        <a:blip r:embed="rId97"/>
        <a:stretch>
          <a:fillRect/>
        </a:stretch>
      </xdr:blipFill>
      <xdr:spPr>
        <a:xfrm>
          <a:off x="13330555" y="125146435"/>
          <a:ext cx="7962900" cy="3019425"/>
        </a:xfrm>
        <a:prstGeom prst="rect">
          <a:avLst/>
        </a:prstGeom>
        <a:noFill/>
        <a:ln w="9525">
          <a:noFill/>
        </a:ln>
      </xdr:spPr>
    </xdr:pic>
    <xdr:clientData/>
  </xdr:twoCellAnchor>
  <xdr:twoCellAnchor editAs="oneCell">
    <xdr:from>
      <xdr:col>0</xdr:col>
      <xdr:colOff>0</xdr:colOff>
      <xdr:row>0</xdr:row>
      <xdr:rowOff>0</xdr:rowOff>
    </xdr:from>
    <xdr:to>
      <xdr:col>10</xdr:col>
      <xdr:colOff>133350</xdr:colOff>
      <xdr:row>17</xdr:row>
      <xdr:rowOff>9525</xdr:rowOff>
    </xdr:to>
    <xdr:pic>
      <xdr:nvPicPr>
        <xdr:cNvPr id="493" name="ID_BF2BFCD68C79430BBAA74986AF6A460E"/>
        <xdr:cNvPicPr>
          <a:picLocks noChangeAspect="1"/>
        </xdr:cNvPicPr>
      </xdr:nvPicPr>
      <xdr:blipFill>
        <a:blip r:embed="rId98"/>
        <a:stretch>
          <a:fillRect/>
        </a:stretch>
      </xdr:blipFill>
      <xdr:spPr>
        <a:xfrm>
          <a:off x="13492480" y="76368910"/>
          <a:ext cx="6991350" cy="3086100"/>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10</xdr:row>
      <xdr:rowOff>171450</xdr:rowOff>
    </xdr:to>
    <xdr:pic>
      <xdr:nvPicPr>
        <xdr:cNvPr id="494" name="ID_75C5E7B5B5EE482CBB738C541A986357"/>
        <xdr:cNvPicPr>
          <a:picLocks noChangeAspect="1"/>
        </xdr:cNvPicPr>
      </xdr:nvPicPr>
      <xdr:blipFill>
        <a:blip r:embed="rId99"/>
        <a:stretch>
          <a:fillRect/>
        </a:stretch>
      </xdr:blipFill>
      <xdr:spPr>
        <a:xfrm>
          <a:off x="13330555" y="50546635"/>
          <a:ext cx="7448550" cy="1981200"/>
        </a:xfrm>
        <a:prstGeom prst="rect">
          <a:avLst/>
        </a:prstGeom>
        <a:noFill/>
        <a:ln w="9525">
          <a:noFill/>
        </a:ln>
      </xdr:spPr>
    </xdr:pic>
    <xdr:clientData/>
  </xdr:twoCellAnchor>
  <xdr:twoCellAnchor editAs="oneCell">
    <xdr:from>
      <xdr:col>0</xdr:col>
      <xdr:colOff>0</xdr:colOff>
      <xdr:row>0</xdr:row>
      <xdr:rowOff>0</xdr:rowOff>
    </xdr:from>
    <xdr:to>
      <xdr:col>9</xdr:col>
      <xdr:colOff>581025</xdr:colOff>
      <xdr:row>30</xdr:row>
      <xdr:rowOff>57150</xdr:rowOff>
    </xdr:to>
    <xdr:pic>
      <xdr:nvPicPr>
        <xdr:cNvPr id="495" name="ID_D60FA252695D434998E7621D42CF7C90"/>
        <xdr:cNvPicPr>
          <a:picLocks noChangeAspect="1"/>
        </xdr:cNvPicPr>
      </xdr:nvPicPr>
      <xdr:blipFill>
        <a:blip r:embed="rId100"/>
        <a:stretch>
          <a:fillRect/>
        </a:stretch>
      </xdr:blipFill>
      <xdr:spPr>
        <a:xfrm>
          <a:off x="13330555" y="40907335"/>
          <a:ext cx="6753225" cy="5486400"/>
        </a:xfrm>
        <a:prstGeom prst="rect">
          <a:avLst/>
        </a:prstGeom>
        <a:noFill/>
        <a:ln w="9525">
          <a:noFill/>
        </a:ln>
      </xdr:spPr>
    </xdr:pic>
    <xdr:clientData/>
  </xdr:twoCellAnchor>
  <xdr:twoCellAnchor editAs="oneCell">
    <xdr:from>
      <xdr:col>0</xdr:col>
      <xdr:colOff>0</xdr:colOff>
      <xdr:row>0</xdr:row>
      <xdr:rowOff>0</xdr:rowOff>
    </xdr:from>
    <xdr:to>
      <xdr:col>9</xdr:col>
      <xdr:colOff>304800</xdr:colOff>
      <xdr:row>29</xdr:row>
      <xdr:rowOff>57150</xdr:rowOff>
    </xdr:to>
    <xdr:pic>
      <xdr:nvPicPr>
        <xdr:cNvPr id="496" name="ID_0926C3BB6DD64C63BF48AC156568F977"/>
        <xdr:cNvPicPr>
          <a:picLocks noChangeAspect="1"/>
        </xdr:cNvPicPr>
      </xdr:nvPicPr>
      <xdr:blipFill>
        <a:blip r:embed="rId101"/>
        <a:stretch>
          <a:fillRect/>
        </a:stretch>
      </xdr:blipFill>
      <xdr:spPr>
        <a:xfrm>
          <a:off x="13330555" y="41745535"/>
          <a:ext cx="6477000" cy="5305425"/>
        </a:xfrm>
        <a:prstGeom prst="rect">
          <a:avLst/>
        </a:prstGeom>
        <a:noFill/>
        <a:ln w="9525">
          <a:noFill/>
        </a:ln>
      </xdr:spPr>
    </xdr:pic>
    <xdr:clientData/>
  </xdr:twoCellAnchor>
  <xdr:twoCellAnchor editAs="oneCell">
    <xdr:from>
      <xdr:col>0</xdr:col>
      <xdr:colOff>0</xdr:colOff>
      <xdr:row>0</xdr:row>
      <xdr:rowOff>0</xdr:rowOff>
    </xdr:from>
    <xdr:to>
      <xdr:col>10</xdr:col>
      <xdr:colOff>561975</xdr:colOff>
      <xdr:row>7</xdr:row>
      <xdr:rowOff>104775</xdr:rowOff>
    </xdr:to>
    <xdr:pic>
      <xdr:nvPicPr>
        <xdr:cNvPr id="497" name="ID_14ABA005E3AC4809ADEDFF6ECD00233F"/>
        <xdr:cNvPicPr>
          <a:picLocks noChangeAspect="1"/>
        </xdr:cNvPicPr>
      </xdr:nvPicPr>
      <xdr:blipFill>
        <a:blip r:embed="rId102"/>
        <a:stretch>
          <a:fillRect/>
        </a:stretch>
      </xdr:blipFill>
      <xdr:spPr>
        <a:xfrm>
          <a:off x="13330555" y="51384835"/>
          <a:ext cx="7419975" cy="1371600"/>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14</xdr:row>
      <xdr:rowOff>133350</xdr:rowOff>
    </xdr:to>
    <xdr:pic>
      <xdr:nvPicPr>
        <xdr:cNvPr id="498" name="ID_C3631B3B50034E29A077DEF06B6B8543"/>
        <xdr:cNvPicPr>
          <a:picLocks noChangeAspect="1"/>
        </xdr:cNvPicPr>
      </xdr:nvPicPr>
      <xdr:blipFill>
        <a:blip r:embed="rId103"/>
        <a:stretch>
          <a:fillRect/>
        </a:stretch>
      </xdr:blipFill>
      <xdr:spPr>
        <a:xfrm>
          <a:off x="13330555" y="62910085"/>
          <a:ext cx="7439025" cy="2667000"/>
        </a:xfrm>
        <a:prstGeom prst="rect">
          <a:avLst/>
        </a:prstGeom>
        <a:noFill/>
        <a:ln w="9525">
          <a:noFill/>
        </a:ln>
      </xdr:spPr>
    </xdr:pic>
    <xdr:clientData/>
  </xdr:twoCellAnchor>
  <xdr:twoCellAnchor editAs="oneCell">
    <xdr:from>
      <xdr:col>0</xdr:col>
      <xdr:colOff>0</xdr:colOff>
      <xdr:row>0</xdr:row>
      <xdr:rowOff>0</xdr:rowOff>
    </xdr:from>
    <xdr:to>
      <xdr:col>12</xdr:col>
      <xdr:colOff>95250</xdr:colOff>
      <xdr:row>16</xdr:row>
      <xdr:rowOff>95250</xdr:rowOff>
    </xdr:to>
    <xdr:pic>
      <xdr:nvPicPr>
        <xdr:cNvPr id="499" name="ID_FE0E03E4AB114D7CB183A5516B56FD3F"/>
        <xdr:cNvPicPr>
          <a:picLocks noChangeAspect="1"/>
        </xdr:cNvPicPr>
      </xdr:nvPicPr>
      <xdr:blipFill>
        <a:blip r:embed="rId104"/>
        <a:stretch>
          <a:fillRect/>
        </a:stretch>
      </xdr:blipFill>
      <xdr:spPr>
        <a:xfrm>
          <a:off x="13330555" y="42164635"/>
          <a:ext cx="8324850" cy="2990850"/>
        </a:xfrm>
        <a:prstGeom prst="rect">
          <a:avLst/>
        </a:prstGeom>
        <a:noFill/>
        <a:ln w="9525">
          <a:noFill/>
        </a:ln>
      </xdr:spPr>
    </xdr:pic>
    <xdr:clientData/>
  </xdr:twoCellAnchor>
  <xdr:twoCellAnchor editAs="oneCell">
    <xdr:from>
      <xdr:col>0</xdr:col>
      <xdr:colOff>0</xdr:colOff>
      <xdr:row>0</xdr:row>
      <xdr:rowOff>0</xdr:rowOff>
    </xdr:from>
    <xdr:to>
      <xdr:col>11</xdr:col>
      <xdr:colOff>438150</xdr:colOff>
      <xdr:row>16</xdr:row>
      <xdr:rowOff>85725</xdr:rowOff>
    </xdr:to>
    <xdr:pic>
      <xdr:nvPicPr>
        <xdr:cNvPr id="500" name="ID_66D281E7D81F4A7F87BCC9AD3088CB98"/>
        <xdr:cNvPicPr>
          <a:picLocks noChangeAspect="1"/>
        </xdr:cNvPicPr>
      </xdr:nvPicPr>
      <xdr:blipFill>
        <a:blip r:embed="rId105"/>
        <a:stretch>
          <a:fillRect/>
        </a:stretch>
      </xdr:blipFill>
      <xdr:spPr>
        <a:xfrm>
          <a:off x="13330555" y="52223035"/>
          <a:ext cx="7981950" cy="2981325"/>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9</xdr:row>
      <xdr:rowOff>76200</xdr:rowOff>
    </xdr:to>
    <xdr:pic>
      <xdr:nvPicPr>
        <xdr:cNvPr id="501" name="ID_C4C8D65D470042B6B990F1360AC849E6"/>
        <xdr:cNvPicPr>
          <a:picLocks noChangeAspect="1"/>
        </xdr:cNvPicPr>
      </xdr:nvPicPr>
      <xdr:blipFill>
        <a:blip r:embed="rId106"/>
        <a:stretch>
          <a:fillRect/>
        </a:stretch>
      </xdr:blipFill>
      <xdr:spPr>
        <a:xfrm>
          <a:off x="13330555" y="63748285"/>
          <a:ext cx="7010400" cy="1704975"/>
        </a:xfrm>
        <a:prstGeom prst="rect">
          <a:avLst/>
        </a:prstGeom>
        <a:noFill/>
        <a:ln w="9525">
          <a:noFill/>
        </a:ln>
      </xdr:spPr>
    </xdr:pic>
    <xdr:clientData/>
  </xdr:twoCellAnchor>
  <xdr:twoCellAnchor editAs="oneCell">
    <xdr:from>
      <xdr:col>0</xdr:col>
      <xdr:colOff>0</xdr:colOff>
      <xdr:row>0</xdr:row>
      <xdr:rowOff>0</xdr:rowOff>
    </xdr:from>
    <xdr:to>
      <xdr:col>12</xdr:col>
      <xdr:colOff>123825</xdr:colOff>
      <xdr:row>16</xdr:row>
      <xdr:rowOff>95250</xdr:rowOff>
    </xdr:to>
    <xdr:pic>
      <xdr:nvPicPr>
        <xdr:cNvPr id="502" name="ID_0A768EF8910246D7BC1E59A198780DB6"/>
        <xdr:cNvPicPr>
          <a:picLocks noChangeAspect="1"/>
        </xdr:cNvPicPr>
      </xdr:nvPicPr>
      <xdr:blipFill>
        <a:blip r:embed="rId107"/>
        <a:stretch>
          <a:fillRect/>
        </a:stretch>
      </xdr:blipFill>
      <xdr:spPr>
        <a:xfrm>
          <a:off x="13330555" y="42583735"/>
          <a:ext cx="8353425" cy="2990850"/>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9</xdr:row>
      <xdr:rowOff>66675</xdr:rowOff>
    </xdr:to>
    <xdr:pic>
      <xdr:nvPicPr>
        <xdr:cNvPr id="503" name="ID_0B43EEC009784D97A82836A3F3DC3996"/>
        <xdr:cNvPicPr>
          <a:picLocks noChangeAspect="1"/>
        </xdr:cNvPicPr>
      </xdr:nvPicPr>
      <xdr:blipFill>
        <a:blip r:embed="rId108"/>
        <a:stretch>
          <a:fillRect/>
        </a:stretch>
      </xdr:blipFill>
      <xdr:spPr>
        <a:xfrm>
          <a:off x="13330555" y="64167385"/>
          <a:ext cx="7010400" cy="1695450"/>
        </a:xfrm>
        <a:prstGeom prst="rect">
          <a:avLst/>
        </a:prstGeom>
        <a:noFill/>
        <a:ln w="9525">
          <a:noFill/>
        </a:ln>
      </xdr:spPr>
    </xdr:pic>
    <xdr:clientData/>
  </xdr:twoCellAnchor>
  <xdr:twoCellAnchor editAs="oneCell">
    <xdr:from>
      <xdr:col>0</xdr:col>
      <xdr:colOff>0</xdr:colOff>
      <xdr:row>0</xdr:row>
      <xdr:rowOff>0</xdr:rowOff>
    </xdr:from>
    <xdr:to>
      <xdr:col>9</xdr:col>
      <xdr:colOff>333375</xdr:colOff>
      <xdr:row>19</xdr:row>
      <xdr:rowOff>104775</xdr:rowOff>
    </xdr:to>
    <xdr:pic>
      <xdr:nvPicPr>
        <xdr:cNvPr id="504" name="ID_3789D83E570E48869B28FFC537D4DB80"/>
        <xdr:cNvPicPr>
          <a:picLocks noChangeAspect="1"/>
        </xdr:cNvPicPr>
      </xdr:nvPicPr>
      <xdr:blipFill>
        <a:blip r:embed="rId109"/>
        <a:stretch>
          <a:fillRect/>
        </a:stretch>
      </xdr:blipFill>
      <xdr:spPr>
        <a:xfrm>
          <a:off x="13330555" y="43002835"/>
          <a:ext cx="6505575" cy="3543300"/>
        </a:xfrm>
        <a:prstGeom prst="rect">
          <a:avLst/>
        </a:prstGeom>
        <a:noFill/>
        <a:ln w="9525">
          <a:noFill/>
        </a:ln>
      </xdr:spPr>
    </xdr:pic>
    <xdr:clientData/>
  </xdr:twoCellAnchor>
  <xdr:twoCellAnchor editAs="oneCell">
    <xdr:from>
      <xdr:col>0</xdr:col>
      <xdr:colOff>0</xdr:colOff>
      <xdr:row>0</xdr:row>
      <xdr:rowOff>0</xdr:rowOff>
    </xdr:from>
    <xdr:to>
      <xdr:col>11</xdr:col>
      <xdr:colOff>314325</xdr:colOff>
      <xdr:row>16</xdr:row>
      <xdr:rowOff>142875</xdr:rowOff>
    </xdr:to>
    <xdr:pic>
      <xdr:nvPicPr>
        <xdr:cNvPr id="505" name="ID_53FC27B124AD46F4B5FB19349FB1E9D9"/>
        <xdr:cNvPicPr>
          <a:picLocks noChangeAspect="1"/>
        </xdr:cNvPicPr>
      </xdr:nvPicPr>
      <xdr:blipFill>
        <a:blip r:embed="rId110"/>
        <a:stretch>
          <a:fillRect/>
        </a:stretch>
      </xdr:blipFill>
      <xdr:spPr>
        <a:xfrm>
          <a:off x="13330555" y="43421935"/>
          <a:ext cx="7858125" cy="3038475"/>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16</xdr:row>
      <xdr:rowOff>171450</xdr:rowOff>
    </xdr:to>
    <xdr:pic>
      <xdr:nvPicPr>
        <xdr:cNvPr id="506" name="ID_2C203821382D4A8588911EA9C4A44253"/>
        <xdr:cNvPicPr>
          <a:picLocks noChangeAspect="1"/>
        </xdr:cNvPicPr>
      </xdr:nvPicPr>
      <xdr:blipFill>
        <a:blip r:embed="rId111"/>
        <a:stretch>
          <a:fillRect/>
        </a:stretch>
      </xdr:blipFill>
      <xdr:spPr>
        <a:xfrm>
          <a:off x="13330555" y="53061235"/>
          <a:ext cx="6981825" cy="3067050"/>
        </a:xfrm>
        <a:prstGeom prst="rect">
          <a:avLst/>
        </a:prstGeom>
        <a:noFill/>
        <a:ln w="9525">
          <a:noFill/>
        </a:ln>
      </xdr:spPr>
    </xdr:pic>
    <xdr:clientData/>
  </xdr:twoCellAnchor>
  <xdr:twoCellAnchor editAs="oneCell">
    <xdr:from>
      <xdr:col>0</xdr:col>
      <xdr:colOff>0</xdr:colOff>
      <xdr:row>0</xdr:row>
      <xdr:rowOff>0</xdr:rowOff>
    </xdr:from>
    <xdr:to>
      <xdr:col>12</xdr:col>
      <xdr:colOff>142875</xdr:colOff>
      <xdr:row>16</xdr:row>
      <xdr:rowOff>76200</xdr:rowOff>
    </xdr:to>
    <xdr:pic>
      <xdr:nvPicPr>
        <xdr:cNvPr id="507" name="ID_6B58EE95D0784300BFC9218D44CE034C"/>
        <xdr:cNvPicPr>
          <a:picLocks noChangeAspect="1"/>
        </xdr:cNvPicPr>
      </xdr:nvPicPr>
      <xdr:blipFill>
        <a:blip r:embed="rId112"/>
        <a:stretch>
          <a:fillRect/>
        </a:stretch>
      </xdr:blipFill>
      <xdr:spPr>
        <a:xfrm>
          <a:off x="13330555" y="43841035"/>
          <a:ext cx="8372475" cy="2971800"/>
        </a:xfrm>
        <a:prstGeom prst="rect">
          <a:avLst/>
        </a:prstGeom>
        <a:noFill/>
        <a:ln w="9525">
          <a:noFill/>
        </a:ln>
      </xdr:spPr>
    </xdr:pic>
    <xdr:clientData/>
  </xdr:twoCellAnchor>
  <xdr:twoCellAnchor editAs="oneCell">
    <xdr:from>
      <xdr:col>0</xdr:col>
      <xdr:colOff>0</xdr:colOff>
      <xdr:row>0</xdr:row>
      <xdr:rowOff>0</xdr:rowOff>
    </xdr:from>
    <xdr:to>
      <xdr:col>10</xdr:col>
      <xdr:colOff>180975</xdr:colOff>
      <xdr:row>9</xdr:row>
      <xdr:rowOff>104775</xdr:rowOff>
    </xdr:to>
    <xdr:pic>
      <xdr:nvPicPr>
        <xdr:cNvPr id="508" name="ID_03B797B5BC2C496CB3D963C218B704E4"/>
        <xdr:cNvPicPr>
          <a:picLocks noChangeAspect="1"/>
        </xdr:cNvPicPr>
      </xdr:nvPicPr>
      <xdr:blipFill>
        <a:blip r:embed="rId113"/>
        <a:stretch>
          <a:fillRect/>
        </a:stretch>
      </xdr:blipFill>
      <xdr:spPr>
        <a:xfrm>
          <a:off x="13330555" y="53899435"/>
          <a:ext cx="7038975" cy="1733550"/>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9</xdr:row>
      <xdr:rowOff>47625</xdr:rowOff>
    </xdr:to>
    <xdr:pic>
      <xdr:nvPicPr>
        <xdr:cNvPr id="509" name="ID_7AB7D869959A4C4F835BE2D9048BD910"/>
        <xdr:cNvPicPr>
          <a:picLocks noChangeAspect="1"/>
        </xdr:cNvPicPr>
      </xdr:nvPicPr>
      <xdr:blipFill>
        <a:blip r:embed="rId114"/>
        <a:stretch>
          <a:fillRect/>
        </a:stretch>
      </xdr:blipFill>
      <xdr:spPr>
        <a:xfrm>
          <a:off x="13330555" y="65424685"/>
          <a:ext cx="7000875" cy="1676400"/>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16</xdr:row>
      <xdr:rowOff>104775</xdr:rowOff>
    </xdr:to>
    <xdr:pic>
      <xdr:nvPicPr>
        <xdr:cNvPr id="510" name="ID_9415EB3AF93A435EA455691559254210"/>
        <xdr:cNvPicPr>
          <a:picLocks noChangeAspect="1"/>
        </xdr:cNvPicPr>
      </xdr:nvPicPr>
      <xdr:blipFill>
        <a:blip r:embed="rId115"/>
        <a:stretch>
          <a:fillRect/>
        </a:stretch>
      </xdr:blipFill>
      <xdr:spPr>
        <a:xfrm>
          <a:off x="13330555" y="44260135"/>
          <a:ext cx="7924800" cy="3000375"/>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16</xdr:row>
      <xdr:rowOff>142875</xdr:rowOff>
    </xdr:to>
    <xdr:pic>
      <xdr:nvPicPr>
        <xdr:cNvPr id="511" name="ID_5C89A3198BF64400B63C13B5A4E7784D"/>
        <xdr:cNvPicPr>
          <a:picLocks noChangeAspect="1"/>
        </xdr:cNvPicPr>
      </xdr:nvPicPr>
      <xdr:blipFill>
        <a:blip r:embed="rId116"/>
        <a:stretch>
          <a:fillRect/>
        </a:stretch>
      </xdr:blipFill>
      <xdr:spPr>
        <a:xfrm>
          <a:off x="13330555" y="65843785"/>
          <a:ext cx="7000875" cy="3038475"/>
        </a:xfrm>
        <a:prstGeom prst="rect">
          <a:avLst/>
        </a:prstGeom>
        <a:noFill/>
        <a:ln w="9525">
          <a:noFill/>
        </a:ln>
      </xdr:spPr>
    </xdr:pic>
    <xdr:clientData/>
  </xdr:twoCellAnchor>
  <xdr:twoCellAnchor editAs="oneCell">
    <xdr:from>
      <xdr:col>0</xdr:col>
      <xdr:colOff>0</xdr:colOff>
      <xdr:row>0</xdr:row>
      <xdr:rowOff>0</xdr:rowOff>
    </xdr:from>
    <xdr:to>
      <xdr:col>11</xdr:col>
      <xdr:colOff>447675</xdr:colOff>
      <xdr:row>16</xdr:row>
      <xdr:rowOff>95250</xdr:rowOff>
    </xdr:to>
    <xdr:pic>
      <xdr:nvPicPr>
        <xdr:cNvPr id="512" name="ID_CC13BC78A5344E3AA8EBC914C2C031B6"/>
        <xdr:cNvPicPr>
          <a:picLocks noChangeAspect="1"/>
        </xdr:cNvPicPr>
      </xdr:nvPicPr>
      <xdr:blipFill>
        <a:blip r:embed="rId117"/>
        <a:stretch>
          <a:fillRect/>
        </a:stretch>
      </xdr:blipFill>
      <xdr:spPr>
        <a:xfrm>
          <a:off x="13330555" y="44679235"/>
          <a:ext cx="7991475" cy="2990850"/>
        </a:xfrm>
        <a:prstGeom prst="rect">
          <a:avLst/>
        </a:prstGeom>
        <a:noFill/>
        <a:ln w="9525">
          <a:noFill/>
        </a:ln>
      </xdr:spPr>
    </xdr:pic>
    <xdr:clientData/>
  </xdr:twoCellAnchor>
  <xdr:twoCellAnchor editAs="oneCell">
    <xdr:from>
      <xdr:col>0</xdr:col>
      <xdr:colOff>0</xdr:colOff>
      <xdr:row>0</xdr:row>
      <xdr:rowOff>0</xdr:rowOff>
    </xdr:from>
    <xdr:to>
      <xdr:col>11</xdr:col>
      <xdr:colOff>447675</xdr:colOff>
      <xdr:row>16</xdr:row>
      <xdr:rowOff>66675</xdr:rowOff>
    </xdr:to>
    <xdr:pic>
      <xdr:nvPicPr>
        <xdr:cNvPr id="513" name="ID_51B365EC8D44431697504C7428866026"/>
        <xdr:cNvPicPr>
          <a:picLocks noChangeAspect="1"/>
        </xdr:cNvPicPr>
      </xdr:nvPicPr>
      <xdr:blipFill>
        <a:blip r:embed="rId118"/>
        <a:stretch>
          <a:fillRect/>
        </a:stretch>
      </xdr:blipFill>
      <xdr:spPr>
        <a:xfrm>
          <a:off x="13330555" y="45098335"/>
          <a:ext cx="7991475" cy="2962275"/>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76200</xdr:rowOff>
    </xdr:to>
    <xdr:pic>
      <xdr:nvPicPr>
        <xdr:cNvPr id="514" name="ID_FD85C7C96B63427CB302652D190AC7E9"/>
        <xdr:cNvPicPr>
          <a:picLocks noChangeAspect="1"/>
        </xdr:cNvPicPr>
      </xdr:nvPicPr>
      <xdr:blipFill>
        <a:blip r:embed="rId119"/>
        <a:stretch>
          <a:fillRect/>
        </a:stretch>
      </xdr:blipFill>
      <xdr:spPr>
        <a:xfrm>
          <a:off x="13330555" y="45517435"/>
          <a:ext cx="7934325" cy="2971800"/>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15</xdr:row>
      <xdr:rowOff>0</xdr:rowOff>
    </xdr:to>
    <xdr:pic>
      <xdr:nvPicPr>
        <xdr:cNvPr id="515" name="ID_A39812796E8146BAA0F475C22E3D0450"/>
        <xdr:cNvPicPr>
          <a:picLocks noChangeAspect="1"/>
        </xdr:cNvPicPr>
      </xdr:nvPicPr>
      <xdr:blipFill>
        <a:blip r:embed="rId120"/>
        <a:stretch>
          <a:fillRect/>
        </a:stretch>
      </xdr:blipFill>
      <xdr:spPr>
        <a:xfrm>
          <a:off x="13330555" y="66681985"/>
          <a:ext cx="7486650" cy="2714625"/>
        </a:xfrm>
        <a:prstGeom prst="rect">
          <a:avLst/>
        </a:prstGeom>
        <a:noFill/>
        <a:ln w="9525">
          <a:noFill/>
        </a:ln>
      </xdr:spPr>
    </xdr:pic>
    <xdr:clientData/>
  </xdr:twoCellAnchor>
  <xdr:twoCellAnchor editAs="oneCell">
    <xdr:from>
      <xdr:col>0</xdr:col>
      <xdr:colOff>0</xdr:colOff>
      <xdr:row>0</xdr:row>
      <xdr:rowOff>0</xdr:rowOff>
    </xdr:from>
    <xdr:to>
      <xdr:col>10</xdr:col>
      <xdr:colOff>561975</xdr:colOff>
      <xdr:row>16</xdr:row>
      <xdr:rowOff>142875</xdr:rowOff>
    </xdr:to>
    <xdr:pic>
      <xdr:nvPicPr>
        <xdr:cNvPr id="516" name="ID_20D41A4EE0B14E24A79647A749CF6882"/>
        <xdr:cNvPicPr>
          <a:picLocks noChangeAspect="1"/>
        </xdr:cNvPicPr>
      </xdr:nvPicPr>
      <xdr:blipFill>
        <a:blip r:embed="rId121"/>
        <a:stretch>
          <a:fillRect/>
        </a:stretch>
      </xdr:blipFill>
      <xdr:spPr>
        <a:xfrm>
          <a:off x="13330555" y="56204485"/>
          <a:ext cx="7419975" cy="3038475"/>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17</xdr:row>
      <xdr:rowOff>9525</xdr:rowOff>
    </xdr:to>
    <xdr:pic>
      <xdr:nvPicPr>
        <xdr:cNvPr id="517" name="ID_828BC0F5B1EC4707B953BE29D2BED996"/>
        <xdr:cNvPicPr>
          <a:picLocks noChangeAspect="1"/>
        </xdr:cNvPicPr>
      </xdr:nvPicPr>
      <xdr:blipFill>
        <a:blip r:embed="rId122"/>
        <a:stretch>
          <a:fillRect/>
        </a:stretch>
      </xdr:blipFill>
      <xdr:spPr>
        <a:xfrm>
          <a:off x="13502005" y="67196335"/>
          <a:ext cx="7010400" cy="3086100"/>
        </a:xfrm>
        <a:prstGeom prst="rect">
          <a:avLst/>
        </a:prstGeom>
        <a:noFill/>
        <a:ln w="9525">
          <a:noFill/>
        </a:ln>
      </xdr:spPr>
    </xdr:pic>
    <xdr:clientData/>
  </xdr:twoCellAnchor>
  <xdr:twoCellAnchor editAs="oneCell">
    <xdr:from>
      <xdr:col>0</xdr:col>
      <xdr:colOff>0</xdr:colOff>
      <xdr:row>0</xdr:row>
      <xdr:rowOff>0</xdr:rowOff>
    </xdr:from>
    <xdr:to>
      <xdr:col>10</xdr:col>
      <xdr:colOff>657225</xdr:colOff>
      <xdr:row>16</xdr:row>
      <xdr:rowOff>133350</xdr:rowOff>
    </xdr:to>
    <xdr:pic>
      <xdr:nvPicPr>
        <xdr:cNvPr id="518" name="ID_CA36B085279648D4A74E30731E745A2F"/>
        <xdr:cNvPicPr>
          <a:picLocks noChangeAspect="1"/>
        </xdr:cNvPicPr>
      </xdr:nvPicPr>
      <xdr:blipFill>
        <a:blip r:embed="rId123"/>
        <a:stretch>
          <a:fillRect/>
        </a:stretch>
      </xdr:blipFill>
      <xdr:spPr>
        <a:xfrm>
          <a:off x="13330555" y="120536335"/>
          <a:ext cx="7515225" cy="3028950"/>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16</xdr:row>
      <xdr:rowOff>104775</xdr:rowOff>
    </xdr:to>
    <xdr:pic>
      <xdr:nvPicPr>
        <xdr:cNvPr id="519" name="ID_F8E36B72F8174E05A1643883754F5F41"/>
        <xdr:cNvPicPr>
          <a:picLocks noChangeAspect="1"/>
        </xdr:cNvPicPr>
      </xdr:nvPicPr>
      <xdr:blipFill>
        <a:blip r:embed="rId124"/>
        <a:stretch>
          <a:fillRect/>
        </a:stretch>
      </xdr:blipFill>
      <xdr:spPr>
        <a:xfrm>
          <a:off x="13330555" y="45936535"/>
          <a:ext cx="7924800" cy="3000375"/>
        </a:xfrm>
        <a:prstGeom prst="rect">
          <a:avLst/>
        </a:prstGeom>
        <a:noFill/>
        <a:ln w="9525">
          <a:noFill/>
        </a:ln>
      </xdr:spPr>
    </xdr:pic>
    <xdr:clientData/>
  </xdr:twoCellAnchor>
  <xdr:twoCellAnchor editAs="oneCell">
    <xdr:from>
      <xdr:col>0</xdr:col>
      <xdr:colOff>0</xdr:colOff>
      <xdr:row>0</xdr:row>
      <xdr:rowOff>0</xdr:rowOff>
    </xdr:from>
    <xdr:to>
      <xdr:col>10</xdr:col>
      <xdr:colOff>647700</xdr:colOff>
      <xdr:row>34</xdr:row>
      <xdr:rowOff>19050</xdr:rowOff>
    </xdr:to>
    <xdr:pic>
      <xdr:nvPicPr>
        <xdr:cNvPr id="520" name="ID_7131422BB5B445DEAEEEA820B7A6F5D7"/>
        <xdr:cNvPicPr>
          <a:picLocks noChangeAspect="1"/>
        </xdr:cNvPicPr>
      </xdr:nvPicPr>
      <xdr:blipFill>
        <a:blip r:embed="rId125"/>
        <a:stretch>
          <a:fillRect/>
        </a:stretch>
      </xdr:blipFill>
      <xdr:spPr>
        <a:xfrm>
          <a:off x="13330555" y="46355635"/>
          <a:ext cx="7505700" cy="6172200"/>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17</xdr:row>
      <xdr:rowOff>9525</xdr:rowOff>
    </xdr:to>
    <xdr:pic>
      <xdr:nvPicPr>
        <xdr:cNvPr id="521" name="ID_5ACE71DB50154208B1BA6B83A1B68FFD"/>
        <xdr:cNvPicPr>
          <a:picLocks noChangeAspect="1"/>
        </xdr:cNvPicPr>
      </xdr:nvPicPr>
      <xdr:blipFill>
        <a:blip r:embed="rId126"/>
        <a:stretch>
          <a:fillRect/>
        </a:stretch>
      </xdr:blipFill>
      <xdr:spPr>
        <a:xfrm>
          <a:off x="13330555" y="67939285"/>
          <a:ext cx="7000875" cy="3086100"/>
        </a:xfrm>
        <a:prstGeom prst="rect">
          <a:avLst/>
        </a:prstGeom>
        <a:noFill/>
        <a:ln w="9525">
          <a:noFill/>
        </a:ln>
      </xdr:spPr>
    </xdr:pic>
    <xdr:clientData/>
  </xdr:twoCellAnchor>
  <xdr:twoCellAnchor editAs="oneCell">
    <xdr:from>
      <xdr:col>0</xdr:col>
      <xdr:colOff>0</xdr:colOff>
      <xdr:row>0</xdr:row>
      <xdr:rowOff>0</xdr:rowOff>
    </xdr:from>
    <xdr:to>
      <xdr:col>11</xdr:col>
      <xdr:colOff>295275</xdr:colOff>
      <xdr:row>16</xdr:row>
      <xdr:rowOff>95250</xdr:rowOff>
    </xdr:to>
    <xdr:pic>
      <xdr:nvPicPr>
        <xdr:cNvPr id="522" name="ID_5D91F57BFD554545BA1437595177BCA8"/>
        <xdr:cNvPicPr>
          <a:picLocks noChangeAspect="1"/>
        </xdr:cNvPicPr>
      </xdr:nvPicPr>
      <xdr:blipFill>
        <a:blip r:embed="rId127"/>
        <a:stretch>
          <a:fillRect/>
        </a:stretch>
      </xdr:blipFill>
      <xdr:spPr>
        <a:xfrm>
          <a:off x="13330555" y="46774735"/>
          <a:ext cx="7839075" cy="2990850"/>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16</xdr:row>
      <xdr:rowOff>171450</xdr:rowOff>
    </xdr:to>
    <xdr:pic>
      <xdr:nvPicPr>
        <xdr:cNvPr id="523" name="ID_9109B5C4B0BA4B75A63F0829F679E53D"/>
        <xdr:cNvPicPr>
          <a:picLocks noChangeAspect="1"/>
        </xdr:cNvPicPr>
      </xdr:nvPicPr>
      <xdr:blipFill>
        <a:blip r:embed="rId128"/>
        <a:stretch>
          <a:fillRect/>
        </a:stretch>
      </xdr:blipFill>
      <xdr:spPr>
        <a:xfrm>
          <a:off x="13330555" y="57671335"/>
          <a:ext cx="7458075" cy="3067050"/>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8</xdr:row>
      <xdr:rowOff>66675</xdr:rowOff>
    </xdr:to>
    <xdr:pic>
      <xdr:nvPicPr>
        <xdr:cNvPr id="524" name="ID_DEE1FE53D2CE44B89C54FB74A87C88DB"/>
        <xdr:cNvPicPr>
          <a:picLocks noChangeAspect="1"/>
        </xdr:cNvPicPr>
      </xdr:nvPicPr>
      <xdr:blipFill>
        <a:blip r:embed="rId129"/>
        <a:stretch>
          <a:fillRect/>
        </a:stretch>
      </xdr:blipFill>
      <xdr:spPr>
        <a:xfrm>
          <a:off x="13330555" y="68358385"/>
          <a:ext cx="6981825" cy="1514475"/>
        </a:xfrm>
        <a:prstGeom prst="rect">
          <a:avLst/>
        </a:prstGeom>
        <a:noFill/>
        <a:ln w="9525">
          <a:noFill/>
        </a:ln>
      </xdr:spPr>
    </xdr:pic>
    <xdr:clientData/>
  </xdr:twoCellAnchor>
  <xdr:twoCellAnchor editAs="oneCell">
    <xdr:from>
      <xdr:col>0</xdr:col>
      <xdr:colOff>0</xdr:colOff>
      <xdr:row>0</xdr:row>
      <xdr:rowOff>0</xdr:rowOff>
    </xdr:from>
    <xdr:to>
      <xdr:col>16</xdr:col>
      <xdr:colOff>238125</xdr:colOff>
      <xdr:row>24</xdr:row>
      <xdr:rowOff>66675</xdr:rowOff>
    </xdr:to>
    <xdr:pic>
      <xdr:nvPicPr>
        <xdr:cNvPr id="525" name="ID_14A82892D8FD41F78E6937BC3367EF1D"/>
        <xdr:cNvPicPr>
          <a:picLocks noChangeAspect="1"/>
        </xdr:cNvPicPr>
      </xdr:nvPicPr>
      <xdr:blipFill>
        <a:blip r:embed="rId130"/>
        <a:stretch>
          <a:fillRect/>
        </a:stretch>
      </xdr:blipFill>
      <xdr:spPr>
        <a:xfrm>
          <a:off x="13330555" y="47193835"/>
          <a:ext cx="11210925" cy="4410075"/>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28575</xdr:rowOff>
    </xdr:to>
    <xdr:pic>
      <xdr:nvPicPr>
        <xdr:cNvPr id="526" name="ID_A407F8C4C6434FC38945FBEE3CD0479F"/>
        <xdr:cNvPicPr>
          <a:picLocks noChangeAspect="1"/>
        </xdr:cNvPicPr>
      </xdr:nvPicPr>
      <xdr:blipFill>
        <a:blip r:embed="rId131"/>
        <a:stretch>
          <a:fillRect/>
        </a:stretch>
      </xdr:blipFill>
      <xdr:spPr>
        <a:xfrm>
          <a:off x="13330555" y="58509535"/>
          <a:ext cx="7429500" cy="2924175"/>
        </a:xfrm>
        <a:prstGeom prst="rect">
          <a:avLst/>
        </a:prstGeom>
        <a:noFill/>
        <a:ln w="9525">
          <a:noFill/>
        </a:ln>
      </xdr:spPr>
    </xdr:pic>
    <xdr:clientData/>
  </xdr:twoCellAnchor>
  <xdr:twoCellAnchor editAs="oneCell">
    <xdr:from>
      <xdr:col>0</xdr:col>
      <xdr:colOff>0</xdr:colOff>
      <xdr:row>0</xdr:row>
      <xdr:rowOff>0</xdr:rowOff>
    </xdr:from>
    <xdr:to>
      <xdr:col>11</xdr:col>
      <xdr:colOff>295275</xdr:colOff>
      <xdr:row>16</xdr:row>
      <xdr:rowOff>114300</xdr:rowOff>
    </xdr:to>
    <xdr:pic>
      <xdr:nvPicPr>
        <xdr:cNvPr id="527" name="ID_192BBC6F54A04CEE8F48E3CE66513D31"/>
        <xdr:cNvPicPr>
          <a:picLocks noChangeAspect="1"/>
        </xdr:cNvPicPr>
      </xdr:nvPicPr>
      <xdr:blipFill>
        <a:blip r:embed="rId132"/>
        <a:stretch>
          <a:fillRect/>
        </a:stretch>
      </xdr:blipFill>
      <xdr:spPr>
        <a:xfrm>
          <a:off x="13330555" y="47612935"/>
          <a:ext cx="7839075" cy="3009900"/>
        </a:xfrm>
        <a:prstGeom prst="rect">
          <a:avLst/>
        </a:prstGeom>
        <a:noFill/>
        <a:ln w="9525">
          <a:noFill/>
        </a:ln>
      </xdr:spPr>
    </xdr:pic>
    <xdr:clientData/>
  </xdr:twoCellAnchor>
  <xdr:twoCellAnchor editAs="oneCell">
    <xdr:from>
      <xdr:col>0</xdr:col>
      <xdr:colOff>0</xdr:colOff>
      <xdr:row>0</xdr:row>
      <xdr:rowOff>0</xdr:rowOff>
    </xdr:from>
    <xdr:to>
      <xdr:col>11</xdr:col>
      <xdr:colOff>314325</xdr:colOff>
      <xdr:row>16</xdr:row>
      <xdr:rowOff>95250</xdr:rowOff>
    </xdr:to>
    <xdr:pic>
      <xdr:nvPicPr>
        <xdr:cNvPr id="528" name="ID_D6DC076ACBE24E928E44CE4191293478"/>
        <xdr:cNvPicPr>
          <a:picLocks noChangeAspect="1"/>
        </xdr:cNvPicPr>
      </xdr:nvPicPr>
      <xdr:blipFill>
        <a:blip r:embed="rId133"/>
        <a:stretch>
          <a:fillRect/>
        </a:stretch>
      </xdr:blipFill>
      <xdr:spPr>
        <a:xfrm>
          <a:off x="13330555" y="48032035"/>
          <a:ext cx="7858125" cy="2990850"/>
        </a:xfrm>
        <a:prstGeom prst="rect">
          <a:avLst/>
        </a:prstGeom>
        <a:noFill/>
        <a:ln w="9525">
          <a:noFill/>
        </a:ln>
      </xdr:spPr>
    </xdr:pic>
    <xdr:clientData/>
  </xdr:twoCellAnchor>
  <xdr:twoCellAnchor editAs="oneCell">
    <xdr:from>
      <xdr:col>0</xdr:col>
      <xdr:colOff>0</xdr:colOff>
      <xdr:row>0</xdr:row>
      <xdr:rowOff>0</xdr:rowOff>
    </xdr:from>
    <xdr:to>
      <xdr:col>10</xdr:col>
      <xdr:colOff>552450</xdr:colOff>
      <xdr:row>11</xdr:row>
      <xdr:rowOff>152400</xdr:rowOff>
    </xdr:to>
    <xdr:pic>
      <xdr:nvPicPr>
        <xdr:cNvPr id="529" name="ID_7AEE4545520E4B539621C3A927B879D9"/>
        <xdr:cNvPicPr>
          <a:picLocks noChangeAspect="1"/>
        </xdr:cNvPicPr>
      </xdr:nvPicPr>
      <xdr:blipFill>
        <a:blip r:embed="rId134"/>
        <a:stretch>
          <a:fillRect/>
        </a:stretch>
      </xdr:blipFill>
      <xdr:spPr>
        <a:xfrm>
          <a:off x="13330555" y="49289335"/>
          <a:ext cx="7410450" cy="2143125"/>
        </a:xfrm>
        <a:prstGeom prst="rect">
          <a:avLst/>
        </a:prstGeom>
        <a:noFill/>
        <a:ln w="9525">
          <a:noFill/>
        </a:ln>
      </xdr:spPr>
    </xdr:pic>
    <xdr:clientData/>
  </xdr:twoCellAnchor>
  <xdr:twoCellAnchor editAs="oneCell">
    <xdr:from>
      <xdr:col>0</xdr:col>
      <xdr:colOff>0</xdr:colOff>
      <xdr:row>0</xdr:row>
      <xdr:rowOff>0</xdr:rowOff>
    </xdr:from>
    <xdr:to>
      <xdr:col>11</xdr:col>
      <xdr:colOff>333375</xdr:colOff>
      <xdr:row>16</xdr:row>
      <xdr:rowOff>76200</xdr:rowOff>
    </xdr:to>
    <xdr:pic>
      <xdr:nvPicPr>
        <xdr:cNvPr id="530" name="ID_F5164A13F2BB44A78B5F33FF60D413A2"/>
        <xdr:cNvPicPr>
          <a:picLocks noChangeAspect="1"/>
        </xdr:cNvPicPr>
      </xdr:nvPicPr>
      <xdr:blipFill>
        <a:blip r:embed="rId135"/>
        <a:stretch>
          <a:fillRect/>
        </a:stretch>
      </xdr:blipFill>
      <xdr:spPr>
        <a:xfrm>
          <a:off x="13330555" y="50127535"/>
          <a:ext cx="7877175" cy="2971800"/>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16</xdr:row>
      <xdr:rowOff>133350</xdr:rowOff>
    </xdr:to>
    <xdr:pic>
      <xdr:nvPicPr>
        <xdr:cNvPr id="531" name="ID_2FDABA928A3D41EBACD5BA7B3102D43D"/>
        <xdr:cNvPicPr>
          <a:picLocks noChangeAspect="1"/>
        </xdr:cNvPicPr>
      </xdr:nvPicPr>
      <xdr:blipFill>
        <a:blip r:embed="rId136"/>
        <a:stretch>
          <a:fillRect/>
        </a:stretch>
      </xdr:blipFill>
      <xdr:spPr>
        <a:xfrm>
          <a:off x="13330555" y="50965735"/>
          <a:ext cx="7439025" cy="3028950"/>
        </a:xfrm>
        <a:prstGeom prst="rect">
          <a:avLst/>
        </a:prstGeom>
        <a:noFill/>
        <a:ln w="9525">
          <a:noFill/>
        </a:ln>
      </xdr:spPr>
    </xdr:pic>
    <xdr:clientData/>
  </xdr:twoCellAnchor>
  <xdr:twoCellAnchor editAs="oneCell">
    <xdr:from>
      <xdr:col>0</xdr:col>
      <xdr:colOff>0</xdr:colOff>
      <xdr:row>0</xdr:row>
      <xdr:rowOff>0</xdr:rowOff>
    </xdr:from>
    <xdr:to>
      <xdr:col>11</xdr:col>
      <xdr:colOff>352425</xdr:colOff>
      <xdr:row>16</xdr:row>
      <xdr:rowOff>114300</xdr:rowOff>
    </xdr:to>
    <xdr:pic>
      <xdr:nvPicPr>
        <xdr:cNvPr id="532" name="ID_19F930A481424A0DB29F0F713110B3A1"/>
        <xdr:cNvPicPr>
          <a:picLocks noChangeAspect="1"/>
        </xdr:cNvPicPr>
      </xdr:nvPicPr>
      <xdr:blipFill>
        <a:blip r:embed="rId137"/>
        <a:stretch>
          <a:fillRect/>
        </a:stretch>
      </xdr:blipFill>
      <xdr:spPr>
        <a:xfrm>
          <a:off x="13330555" y="51803935"/>
          <a:ext cx="7896225" cy="3009900"/>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11</xdr:row>
      <xdr:rowOff>152400</xdr:rowOff>
    </xdr:to>
    <xdr:pic>
      <xdr:nvPicPr>
        <xdr:cNvPr id="533" name="ID_50813D7EC03348E4844A9F10AEC101F3"/>
        <xdr:cNvPicPr>
          <a:picLocks noChangeAspect="1"/>
        </xdr:cNvPicPr>
      </xdr:nvPicPr>
      <xdr:blipFill>
        <a:blip r:embed="rId138"/>
        <a:stretch>
          <a:fillRect/>
        </a:stretch>
      </xdr:blipFill>
      <xdr:spPr>
        <a:xfrm>
          <a:off x="13330555" y="52642135"/>
          <a:ext cx="7000875" cy="2143125"/>
        </a:xfrm>
        <a:prstGeom prst="rect">
          <a:avLst/>
        </a:prstGeom>
        <a:noFill/>
        <a:ln w="9525">
          <a:noFill/>
        </a:ln>
      </xdr:spPr>
    </xdr:pic>
    <xdr:clientData/>
  </xdr:twoCellAnchor>
  <xdr:twoCellAnchor editAs="oneCell">
    <xdr:from>
      <xdr:col>0</xdr:col>
      <xdr:colOff>0</xdr:colOff>
      <xdr:row>0</xdr:row>
      <xdr:rowOff>0</xdr:rowOff>
    </xdr:from>
    <xdr:to>
      <xdr:col>10</xdr:col>
      <xdr:colOff>114300</xdr:colOff>
      <xdr:row>9</xdr:row>
      <xdr:rowOff>66675</xdr:rowOff>
    </xdr:to>
    <xdr:pic>
      <xdr:nvPicPr>
        <xdr:cNvPr id="534" name="ID_BEDC2A90D7AA4BBC980E405380BA4722"/>
        <xdr:cNvPicPr>
          <a:picLocks noChangeAspect="1"/>
        </xdr:cNvPicPr>
      </xdr:nvPicPr>
      <xdr:blipFill>
        <a:blip r:embed="rId139"/>
        <a:stretch>
          <a:fillRect/>
        </a:stretch>
      </xdr:blipFill>
      <xdr:spPr>
        <a:xfrm>
          <a:off x="13330555" y="53480335"/>
          <a:ext cx="6972300" cy="1695450"/>
        </a:xfrm>
        <a:prstGeom prst="rect">
          <a:avLst/>
        </a:prstGeom>
        <a:noFill/>
        <a:ln w="9525">
          <a:noFill/>
        </a:ln>
      </xdr:spPr>
    </xdr:pic>
    <xdr:clientData/>
  </xdr:twoCellAnchor>
  <xdr:twoCellAnchor editAs="oneCell">
    <xdr:from>
      <xdr:col>0</xdr:col>
      <xdr:colOff>0</xdr:colOff>
      <xdr:row>0</xdr:row>
      <xdr:rowOff>0</xdr:rowOff>
    </xdr:from>
    <xdr:to>
      <xdr:col>10</xdr:col>
      <xdr:colOff>133350</xdr:colOff>
      <xdr:row>16</xdr:row>
      <xdr:rowOff>171450</xdr:rowOff>
    </xdr:to>
    <xdr:pic>
      <xdr:nvPicPr>
        <xdr:cNvPr id="535" name="ID_9AE786F157734493946ECBFD6D4C32A0"/>
        <xdr:cNvPicPr>
          <a:picLocks noChangeAspect="1"/>
        </xdr:cNvPicPr>
      </xdr:nvPicPr>
      <xdr:blipFill>
        <a:blip r:embed="rId140"/>
        <a:stretch>
          <a:fillRect/>
        </a:stretch>
      </xdr:blipFill>
      <xdr:spPr>
        <a:xfrm>
          <a:off x="13330555" y="54318535"/>
          <a:ext cx="6991350" cy="3067050"/>
        </a:xfrm>
        <a:prstGeom prst="rect">
          <a:avLst/>
        </a:prstGeom>
        <a:noFill/>
        <a:ln w="9525">
          <a:noFill/>
        </a:ln>
      </xdr:spPr>
    </xdr:pic>
    <xdr:clientData/>
  </xdr:twoCellAnchor>
  <xdr:twoCellAnchor editAs="oneCell">
    <xdr:from>
      <xdr:col>0</xdr:col>
      <xdr:colOff>0</xdr:colOff>
      <xdr:row>0</xdr:row>
      <xdr:rowOff>0</xdr:rowOff>
    </xdr:from>
    <xdr:to>
      <xdr:col>10</xdr:col>
      <xdr:colOff>171450</xdr:colOff>
      <xdr:row>12</xdr:row>
      <xdr:rowOff>133350</xdr:rowOff>
    </xdr:to>
    <xdr:pic>
      <xdr:nvPicPr>
        <xdr:cNvPr id="536" name="ID_BD1460AA726C4B15BC6F7929DEB54B5E"/>
        <xdr:cNvPicPr>
          <a:picLocks noChangeAspect="1"/>
        </xdr:cNvPicPr>
      </xdr:nvPicPr>
      <xdr:blipFill>
        <a:blip r:embed="rId141"/>
        <a:stretch>
          <a:fillRect/>
        </a:stretch>
      </xdr:blipFill>
      <xdr:spPr>
        <a:xfrm>
          <a:off x="13330555" y="54947185"/>
          <a:ext cx="7029450" cy="2305050"/>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16</xdr:row>
      <xdr:rowOff>161925</xdr:rowOff>
    </xdr:to>
    <xdr:pic>
      <xdr:nvPicPr>
        <xdr:cNvPr id="537" name="ID_F7C79943243C4C8D88C474B31967A662"/>
        <xdr:cNvPicPr>
          <a:picLocks noChangeAspect="1"/>
        </xdr:cNvPicPr>
      </xdr:nvPicPr>
      <xdr:blipFill>
        <a:blip r:embed="rId142"/>
        <a:stretch>
          <a:fillRect/>
        </a:stretch>
      </xdr:blipFill>
      <xdr:spPr>
        <a:xfrm>
          <a:off x="13330555" y="66262885"/>
          <a:ext cx="7019925" cy="3057525"/>
        </a:xfrm>
        <a:prstGeom prst="rect">
          <a:avLst/>
        </a:prstGeom>
        <a:noFill/>
        <a:ln w="9525">
          <a:noFill/>
        </a:ln>
      </xdr:spPr>
    </xdr:pic>
    <xdr:clientData/>
  </xdr:twoCellAnchor>
  <xdr:twoCellAnchor editAs="oneCell">
    <xdr:from>
      <xdr:col>0</xdr:col>
      <xdr:colOff>0</xdr:colOff>
      <xdr:row>0</xdr:row>
      <xdr:rowOff>0</xdr:rowOff>
    </xdr:from>
    <xdr:to>
      <xdr:col>13</xdr:col>
      <xdr:colOff>123825</xdr:colOff>
      <xdr:row>23</xdr:row>
      <xdr:rowOff>57150</xdr:rowOff>
    </xdr:to>
    <xdr:pic>
      <xdr:nvPicPr>
        <xdr:cNvPr id="538" name="ID_6DB9FAAE2D134FE899494B511C873B51"/>
        <xdr:cNvPicPr>
          <a:picLocks noChangeAspect="1"/>
        </xdr:cNvPicPr>
      </xdr:nvPicPr>
      <xdr:blipFill>
        <a:blip r:embed="rId143"/>
        <a:stretch>
          <a:fillRect/>
        </a:stretch>
      </xdr:blipFill>
      <xdr:spPr>
        <a:xfrm>
          <a:off x="13330555" y="114040285"/>
          <a:ext cx="9039225" cy="4219575"/>
        </a:xfrm>
        <a:prstGeom prst="rect">
          <a:avLst/>
        </a:prstGeom>
        <a:noFill/>
        <a:ln w="9525">
          <a:noFill/>
        </a:ln>
      </xdr:spPr>
    </xdr:pic>
    <xdr:clientData/>
  </xdr:twoCellAnchor>
  <xdr:twoCellAnchor editAs="oneCell">
    <xdr:from>
      <xdr:col>0</xdr:col>
      <xdr:colOff>0</xdr:colOff>
      <xdr:row>0</xdr:row>
      <xdr:rowOff>0</xdr:rowOff>
    </xdr:from>
    <xdr:to>
      <xdr:col>11</xdr:col>
      <xdr:colOff>447675</xdr:colOff>
      <xdr:row>16</xdr:row>
      <xdr:rowOff>152400</xdr:rowOff>
    </xdr:to>
    <xdr:pic>
      <xdr:nvPicPr>
        <xdr:cNvPr id="539" name="ID_ADC8CCD54DEF404F85F5F47C2AEEED44"/>
        <xdr:cNvPicPr>
          <a:picLocks noChangeAspect="1"/>
        </xdr:cNvPicPr>
      </xdr:nvPicPr>
      <xdr:blipFill>
        <a:blip r:embed="rId144"/>
        <a:stretch>
          <a:fillRect/>
        </a:stretch>
      </xdr:blipFill>
      <xdr:spPr>
        <a:xfrm>
          <a:off x="13330555" y="104400985"/>
          <a:ext cx="7991475" cy="3048000"/>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16</xdr:row>
      <xdr:rowOff>161925</xdr:rowOff>
    </xdr:to>
    <xdr:pic>
      <xdr:nvPicPr>
        <xdr:cNvPr id="540" name="ID_2DDEE16F992C4338BAB0AFC677A63ED0"/>
        <xdr:cNvPicPr>
          <a:picLocks noChangeAspect="1"/>
        </xdr:cNvPicPr>
      </xdr:nvPicPr>
      <xdr:blipFill>
        <a:blip r:embed="rId145"/>
        <a:stretch>
          <a:fillRect/>
        </a:stretch>
      </xdr:blipFill>
      <xdr:spPr>
        <a:xfrm>
          <a:off x="13730605" y="55423435"/>
          <a:ext cx="7458075" cy="3057525"/>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17</xdr:row>
      <xdr:rowOff>0</xdr:rowOff>
    </xdr:to>
    <xdr:pic>
      <xdr:nvPicPr>
        <xdr:cNvPr id="541" name="ID_2177D36DAB2E4DBDB439777381477C19"/>
        <xdr:cNvPicPr>
          <a:picLocks noChangeAspect="1"/>
        </xdr:cNvPicPr>
      </xdr:nvPicPr>
      <xdr:blipFill>
        <a:blip r:embed="rId146"/>
        <a:stretch>
          <a:fillRect/>
        </a:stretch>
      </xdr:blipFill>
      <xdr:spPr>
        <a:xfrm>
          <a:off x="13330555" y="57252235"/>
          <a:ext cx="7429500" cy="3076575"/>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16</xdr:row>
      <xdr:rowOff>133350</xdr:rowOff>
    </xdr:to>
    <xdr:pic>
      <xdr:nvPicPr>
        <xdr:cNvPr id="542" name="ID_ECB6057CE1834EB0A07B24C9AEFEFBEB"/>
        <xdr:cNvPicPr>
          <a:picLocks noChangeAspect="1"/>
        </xdr:cNvPicPr>
      </xdr:nvPicPr>
      <xdr:blipFill>
        <a:blip r:embed="rId147"/>
        <a:stretch>
          <a:fillRect/>
        </a:stretch>
      </xdr:blipFill>
      <xdr:spPr>
        <a:xfrm>
          <a:off x="13330555" y="131013835"/>
          <a:ext cx="7924800" cy="3028950"/>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8</xdr:row>
      <xdr:rowOff>85725</xdr:rowOff>
    </xdr:to>
    <xdr:pic>
      <xdr:nvPicPr>
        <xdr:cNvPr id="543" name="ID_F2EEB39A340A4F458F7432C349D441E6"/>
        <xdr:cNvPicPr>
          <a:picLocks noChangeAspect="1"/>
        </xdr:cNvPicPr>
      </xdr:nvPicPr>
      <xdr:blipFill>
        <a:blip r:embed="rId148"/>
        <a:stretch>
          <a:fillRect/>
        </a:stretch>
      </xdr:blipFill>
      <xdr:spPr>
        <a:xfrm>
          <a:off x="13530580" y="90494485"/>
          <a:ext cx="7448550" cy="1533525"/>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16</xdr:row>
      <xdr:rowOff>95250</xdr:rowOff>
    </xdr:to>
    <xdr:pic>
      <xdr:nvPicPr>
        <xdr:cNvPr id="544" name="ID_AFF4CC95155142B3822497684BEC69D9"/>
        <xdr:cNvPicPr>
          <a:picLocks noChangeAspect="1"/>
        </xdr:cNvPicPr>
      </xdr:nvPicPr>
      <xdr:blipFill>
        <a:blip r:embed="rId149"/>
        <a:stretch>
          <a:fillRect/>
        </a:stretch>
      </xdr:blipFill>
      <xdr:spPr>
        <a:xfrm>
          <a:off x="13330555" y="58090435"/>
          <a:ext cx="7486650" cy="2990850"/>
        </a:xfrm>
        <a:prstGeom prst="rect">
          <a:avLst/>
        </a:prstGeom>
        <a:noFill/>
        <a:ln w="9525">
          <a:noFill/>
        </a:ln>
      </xdr:spPr>
    </xdr:pic>
    <xdr:clientData/>
  </xdr:twoCellAnchor>
  <xdr:twoCellAnchor editAs="oneCell">
    <xdr:from>
      <xdr:col>0</xdr:col>
      <xdr:colOff>0</xdr:colOff>
      <xdr:row>0</xdr:row>
      <xdr:rowOff>0</xdr:rowOff>
    </xdr:from>
    <xdr:to>
      <xdr:col>10</xdr:col>
      <xdr:colOff>638175</xdr:colOff>
      <xdr:row>16</xdr:row>
      <xdr:rowOff>161925</xdr:rowOff>
    </xdr:to>
    <xdr:pic>
      <xdr:nvPicPr>
        <xdr:cNvPr id="545" name="ID_4DB724AB6975480F8F8C73F9E17CBF44"/>
        <xdr:cNvPicPr>
          <a:picLocks noChangeAspect="1"/>
        </xdr:cNvPicPr>
      </xdr:nvPicPr>
      <xdr:blipFill>
        <a:blip r:embed="rId150"/>
        <a:stretch>
          <a:fillRect/>
        </a:stretch>
      </xdr:blipFill>
      <xdr:spPr>
        <a:xfrm>
          <a:off x="13330555" y="58928635"/>
          <a:ext cx="7496175" cy="3057525"/>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16</xdr:row>
      <xdr:rowOff>104775</xdr:rowOff>
    </xdr:to>
    <xdr:pic>
      <xdr:nvPicPr>
        <xdr:cNvPr id="546" name="ID_CB1E7FA9C76141FEBBABB79EFAF054FC"/>
        <xdr:cNvPicPr>
          <a:picLocks noChangeAspect="1"/>
        </xdr:cNvPicPr>
      </xdr:nvPicPr>
      <xdr:blipFill>
        <a:blip r:embed="rId151"/>
        <a:stretch>
          <a:fillRect/>
        </a:stretch>
      </xdr:blipFill>
      <xdr:spPr>
        <a:xfrm>
          <a:off x="13330555" y="60814585"/>
          <a:ext cx="7010400" cy="3000375"/>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9</xdr:row>
      <xdr:rowOff>28575</xdr:rowOff>
    </xdr:to>
    <xdr:pic>
      <xdr:nvPicPr>
        <xdr:cNvPr id="548" name="ID_1E93E0A0EF32418FA934BBD52672C094"/>
        <xdr:cNvPicPr>
          <a:picLocks noChangeAspect="1"/>
        </xdr:cNvPicPr>
      </xdr:nvPicPr>
      <xdr:blipFill>
        <a:blip r:embed="rId152"/>
        <a:stretch>
          <a:fillRect/>
        </a:stretch>
      </xdr:blipFill>
      <xdr:spPr>
        <a:xfrm>
          <a:off x="13330555" y="63329185"/>
          <a:ext cx="7010400" cy="1657350"/>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9</xdr:row>
      <xdr:rowOff>57150</xdr:rowOff>
    </xdr:to>
    <xdr:pic>
      <xdr:nvPicPr>
        <xdr:cNvPr id="549" name="ID_898C036DEBA54DD59CFCD5293F3C3C28"/>
        <xdr:cNvPicPr>
          <a:picLocks noChangeAspect="1"/>
        </xdr:cNvPicPr>
      </xdr:nvPicPr>
      <xdr:blipFill>
        <a:blip r:embed="rId153"/>
        <a:stretch>
          <a:fillRect/>
        </a:stretch>
      </xdr:blipFill>
      <xdr:spPr>
        <a:xfrm>
          <a:off x="13330555" y="64586485"/>
          <a:ext cx="6981825" cy="1685925"/>
        </a:xfrm>
        <a:prstGeom prst="rect">
          <a:avLst/>
        </a:prstGeom>
        <a:noFill/>
        <a:ln w="9525">
          <a:noFill/>
        </a:ln>
      </xdr:spPr>
    </xdr:pic>
    <xdr:clientData/>
  </xdr:twoCellAnchor>
  <xdr:twoCellAnchor editAs="oneCell">
    <xdr:from>
      <xdr:col>0</xdr:col>
      <xdr:colOff>0</xdr:colOff>
      <xdr:row>0</xdr:row>
      <xdr:rowOff>0</xdr:rowOff>
    </xdr:from>
    <xdr:to>
      <xdr:col>10</xdr:col>
      <xdr:colOff>104775</xdr:colOff>
      <xdr:row>9</xdr:row>
      <xdr:rowOff>104775</xdr:rowOff>
    </xdr:to>
    <xdr:pic>
      <xdr:nvPicPr>
        <xdr:cNvPr id="550" name="ID_A9E22658435F458289D0A6F2F98FA7B2"/>
        <xdr:cNvPicPr>
          <a:picLocks noChangeAspect="1"/>
        </xdr:cNvPicPr>
      </xdr:nvPicPr>
      <xdr:blipFill>
        <a:blip r:embed="rId154"/>
        <a:stretch>
          <a:fillRect/>
        </a:stretch>
      </xdr:blipFill>
      <xdr:spPr>
        <a:xfrm>
          <a:off x="13330555" y="65005585"/>
          <a:ext cx="6962775" cy="1733550"/>
        </a:xfrm>
        <a:prstGeom prst="rect">
          <a:avLst/>
        </a:prstGeom>
        <a:noFill/>
        <a:ln w="9525">
          <a:noFill/>
        </a:ln>
      </xdr:spPr>
    </xdr:pic>
    <xdr:clientData/>
  </xdr:twoCellAnchor>
  <xdr:twoCellAnchor editAs="oneCell">
    <xdr:from>
      <xdr:col>0</xdr:col>
      <xdr:colOff>0</xdr:colOff>
      <xdr:row>0</xdr:row>
      <xdr:rowOff>0</xdr:rowOff>
    </xdr:from>
    <xdr:to>
      <xdr:col>11</xdr:col>
      <xdr:colOff>514350</xdr:colOff>
      <xdr:row>21</xdr:row>
      <xdr:rowOff>0</xdr:rowOff>
    </xdr:to>
    <xdr:pic>
      <xdr:nvPicPr>
        <xdr:cNvPr id="551" name="ID_11B3329169664169A2B9932E43E76771"/>
        <xdr:cNvPicPr>
          <a:picLocks noChangeAspect="1"/>
        </xdr:cNvPicPr>
      </xdr:nvPicPr>
      <xdr:blipFill>
        <a:blip r:embed="rId155"/>
        <a:stretch>
          <a:fillRect/>
        </a:stretch>
      </xdr:blipFill>
      <xdr:spPr>
        <a:xfrm>
          <a:off x="13330555" y="108591985"/>
          <a:ext cx="8058150" cy="3800475"/>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16</xdr:row>
      <xdr:rowOff>171450</xdr:rowOff>
    </xdr:to>
    <xdr:pic>
      <xdr:nvPicPr>
        <xdr:cNvPr id="552" name="ID_4DD144FCF60D400DBE5AB5B0C85B5BFF"/>
        <xdr:cNvPicPr>
          <a:picLocks noChangeAspect="1"/>
        </xdr:cNvPicPr>
      </xdr:nvPicPr>
      <xdr:blipFill>
        <a:blip r:embed="rId156"/>
        <a:stretch>
          <a:fillRect/>
        </a:stretch>
      </xdr:blipFill>
      <xdr:spPr>
        <a:xfrm>
          <a:off x="13330555" y="80931385"/>
          <a:ext cx="7019925" cy="3067050"/>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8</xdr:row>
      <xdr:rowOff>38100</xdr:rowOff>
    </xdr:to>
    <xdr:pic>
      <xdr:nvPicPr>
        <xdr:cNvPr id="553" name="ID_B466CD58A0CC4B4E94B0E5E8608F73FD"/>
        <xdr:cNvPicPr>
          <a:picLocks noChangeAspect="1"/>
        </xdr:cNvPicPr>
      </xdr:nvPicPr>
      <xdr:blipFill>
        <a:blip r:embed="rId157"/>
        <a:stretch>
          <a:fillRect/>
        </a:stretch>
      </xdr:blipFill>
      <xdr:spPr>
        <a:xfrm>
          <a:off x="13330555" y="67520185"/>
          <a:ext cx="7000875" cy="1485900"/>
        </a:xfrm>
        <a:prstGeom prst="rect">
          <a:avLst/>
        </a:prstGeom>
        <a:noFill/>
        <a:ln w="9525">
          <a:noFill/>
        </a:ln>
      </xdr:spPr>
    </xdr:pic>
    <xdr:clientData/>
  </xdr:twoCellAnchor>
  <xdr:twoCellAnchor editAs="oneCell">
    <xdr:from>
      <xdr:col>0</xdr:col>
      <xdr:colOff>0</xdr:colOff>
      <xdr:row>0</xdr:row>
      <xdr:rowOff>0</xdr:rowOff>
    </xdr:from>
    <xdr:to>
      <xdr:col>10</xdr:col>
      <xdr:colOff>552450</xdr:colOff>
      <xdr:row>14</xdr:row>
      <xdr:rowOff>123825</xdr:rowOff>
    </xdr:to>
    <xdr:pic>
      <xdr:nvPicPr>
        <xdr:cNvPr id="554" name="ID_5796401BD6834B678A471C4B5904EF29"/>
        <xdr:cNvPicPr>
          <a:picLocks noChangeAspect="1"/>
        </xdr:cNvPicPr>
      </xdr:nvPicPr>
      <xdr:blipFill>
        <a:blip r:embed="rId158"/>
        <a:stretch>
          <a:fillRect/>
        </a:stretch>
      </xdr:blipFill>
      <xdr:spPr>
        <a:xfrm>
          <a:off x="13330555" y="68777485"/>
          <a:ext cx="7410450" cy="2657475"/>
        </a:xfrm>
        <a:prstGeom prst="rect">
          <a:avLst/>
        </a:prstGeom>
        <a:noFill/>
        <a:ln w="9525">
          <a:noFill/>
        </a:ln>
      </xdr:spPr>
    </xdr:pic>
    <xdr:clientData/>
  </xdr:twoCellAnchor>
  <xdr:twoCellAnchor editAs="oneCell">
    <xdr:from>
      <xdr:col>0</xdr:col>
      <xdr:colOff>0</xdr:colOff>
      <xdr:row>0</xdr:row>
      <xdr:rowOff>0</xdr:rowOff>
    </xdr:from>
    <xdr:to>
      <xdr:col>10</xdr:col>
      <xdr:colOff>561975</xdr:colOff>
      <xdr:row>15</xdr:row>
      <xdr:rowOff>57150</xdr:rowOff>
    </xdr:to>
    <xdr:pic>
      <xdr:nvPicPr>
        <xdr:cNvPr id="555" name="ID_E23E831B8BC74916A23CA21675DAD1A9"/>
        <xdr:cNvPicPr>
          <a:picLocks noChangeAspect="1"/>
        </xdr:cNvPicPr>
      </xdr:nvPicPr>
      <xdr:blipFill>
        <a:blip r:embed="rId159"/>
        <a:stretch>
          <a:fillRect/>
        </a:stretch>
      </xdr:blipFill>
      <xdr:spPr>
        <a:xfrm>
          <a:off x="13330555" y="69196585"/>
          <a:ext cx="7419975" cy="2771775"/>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8</xdr:row>
      <xdr:rowOff>47625</xdr:rowOff>
    </xdr:to>
    <xdr:pic>
      <xdr:nvPicPr>
        <xdr:cNvPr id="556" name="ID_284DF31270854151AA15A62ADC0B122F"/>
        <xdr:cNvPicPr>
          <a:picLocks noChangeAspect="1"/>
        </xdr:cNvPicPr>
      </xdr:nvPicPr>
      <xdr:blipFill>
        <a:blip r:embed="rId160"/>
        <a:stretch>
          <a:fillRect/>
        </a:stretch>
      </xdr:blipFill>
      <xdr:spPr>
        <a:xfrm>
          <a:off x="13330555" y="70034785"/>
          <a:ext cx="7019925" cy="1495425"/>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10</xdr:row>
      <xdr:rowOff>114300</xdr:rowOff>
    </xdr:to>
    <xdr:pic>
      <xdr:nvPicPr>
        <xdr:cNvPr id="557" name="ID_B9E2C376069642B89C0EBBEEF6144647"/>
        <xdr:cNvPicPr>
          <a:picLocks noChangeAspect="1"/>
        </xdr:cNvPicPr>
      </xdr:nvPicPr>
      <xdr:blipFill>
        <a:blip r:embed="rId161"/>
        <a:stretch>
          <a:fillRect/>
        </a:stretch>
      </xdr:blipFill>
      <xdr:spPr>
        <a:xfrm>
          <a:off x="13330555" y="70663435"/>
          <a:ext cx="7439025" cy="1924050"/>
        </a:xfrm>
        <a:prstGeom prst="rect">
          <a:avLst/>
        </a:prstGeom>
        <a:noFill/>
        <a:ln w="9525">
          <a:noFill/>
        </a:ln>
      </xdr:spPr>
    </xdr:pic>
    <xdr:clientData/>
  </xdr:twoCellAnchor>
  <xdr:twoCellAnchor editAs="oneCell">
    <xdr:from>
      <xdr:col>0</xdr:col>
      <xdr:colOff>0</xdr:colOff>
      <xdr:row>0</xdr:row>
      <xdr:rowOff>0</xdr:rowOff>
    </xdr:from>
    <xdr:to>
      <xdr:col>10</xdr:col>
      <xdr:colOff>180975</xdr:colOff>
      <xdr:row>16</xdr:row>
      <xdr:rowOff>171450</xdr:rowOff>
    </xdr:to>
    <xdr:pic>
      <xdr:nvPicPr>
        <xdr:cNvPr id="558" name="ID_F10497A7D2A843BEB804E1087FFAEE33"/>
        <xdr:cNvPicPr>
          <a:picLocks noChangeAspect="1"/>
        </xdr:cNvPicPr>
      </xdr:nvPicPr>
      <xdr:blipFill>
        <a:blip r:embed="rId162"/>
        <a:stretch>
          <a:fillRect/>
        </a:stretch>
      </xdr:blipFill>
      <xdr:spPr>
        <a:xfrm>
          <a:off x="13330555" y="81560035"/>
          <a:ext cx="7038975" cy="3067050"/>
        </a:xfrm>
        <a:prstGeom prst="rect">
          <a:avLst/>
        </a:prstGeom>
        <a:noFill/>
        <a:ln w="9525">
          <a:noFill/>
        </a:ln>
      </xdr:spPr>
    </xdr:pic>
    <xdr:clientData/>
  </xdr:twoCellAnchor>
  <xdr:twoCellAnchor editAs="oneCell">
    <xdr:from>
      <xdr:col>0</xdr:col>
      <xdr:colOff>0</xdr:colOff>
      <xdr:row>0</xdr:row>
      <xdr:rowOff>0</xdr:rowOff>
    </xdr:from>
    <xdr:to>
      <xdr:col>10</xdr:col>
      <xdr:colOff>533400</xdr:colOff>
      <xdr:row>14</xdr:row>
      <xdr:rowOff>66675</xdr:rowOff>
    </xdr:to>
    <xdr:pic>
      <xdr:nvPicPr>
        <xdr:cNvPr id="559" name="ID_9E1577DA0A8F44BB9AADCB843EA220D5"/>
        <xdr:cNvPicPr>
          <a:picLocks noChangeAspect="1"/>
        </xdr:cNvPicPr>
      </xdr:nvPicPr>
      <xdr:blipFill>
        <a:blip r:embed="rId163"/>
        <a:stretch>
          <a:fillRect/>
        </a:stretch>
      </xdr:blipFill>
      <xdr:spPr>
        <a:xfrm>
          <a:off x="13330555" y="71292085"/>
          <a:ext cx="7391400" cy="2600325"/>
        </a:xfrm>
        <a:prstGeom prst="rect">
          <a:avLst/>
        </a:prstGeom>
        <a:noFill/>
        <a:ln w="9525">
          <a:noFill/>
        </a:ln>
      </xdr:spPr>
    </xdr:pic>
    <xdr:clientData/>
  </xdr:twoCellAnchor>
  <xdr:twoCellAnchor editAs="oneCell">
    <xdr:from>
      <xdr:col>0</xdr:col>
      <xdr:colOff>0</xdr:colOff>
      <xdr:row>0</xdr:row>
      <xdr:rowOff>0</xdr:rowOff>
    </xdr:from>
    <xdr:to>
      <xdr:col>10</xdr:col>
      <xdr:colOff>238125</xdr:colOff>
      <xdr:row>12</xdr:row>
      <xdr:rowOff>66675</xdr:rowOff>
    </xdr:to>
    <xdr:pic>
      <xdr:nvPicPr>
        <xdr:cNvPr id="560" name="ID_E23275AE38E44C5EAD7811FD70109985"/>
        <xdr:cNvPicPr>
          <a:picLocks noChangeAspect="1"/>
        </xdr:cNvPicPr>
      </xdr:nvPicPr>
      <xdr:blipFill>
        <a:blip r:embed="rId164"/>
        <a:stretch>
          <a:fillRect/>
        </a:stretch>
      </xdr:blipFill>
      <xdr:spPr>
        <a:xfrm>
          <a:off x="13330555" y="71711185"/>
          <a:ext cx="7096125" cy="2238375"/>
        </a:xfrm>
        <a:prstGeom prst="rect">
          <a:avLst/>
        </a:prstGeom>
        <a:noFill/>
        <a:ln w="9525">
          <a:noFill/>
        </a:ln>
      </xdr:spPr>
    </xdr:pic>
    <xdr:clientData/>
  </xdr:twoCellAnchor>
  <xdr:twoCellAnchor editAs="oneCell">
    <xdr:from>
      <xdr:col>0</xdr:col>
      <xdr:colOff>0</xdr:colOff>
      <xdr:row>0</xdr:row>
      <xdr:rowOff>0</xdr:rowOff>
    </xdr:from>
    <xdr:to>
      <xdr:col>16</xdr:col>
      <xdr:colOff>514350</xdr:colOff>
      <xdr:row>18</xdr:row>
      <xdr:rowOff>95250</xdr:rowOff>
    </xdr:to>
    <xdr:pic>
      <xdr:nvPicPr>
        <xdr:cNvPr id="561" name="ID_E83A4408B5504DE8939C85229367DB73"/>
        <xdr:cNvPicPr>
          <a:picLocks noChangeAspect="1"/>
        </xdr:cNvPicPr>
      </xdr:nvPicPr>
      <xdr:blipFill>
        <a:blip r:embed="rId165"/>
        <a:stretch>
          <a:fillRect/>
        </a:stretch>
      </xdr:blipFill>
      <xdr:spPr>
        <a:xfrm>
          <a:off x="13330555" y="109849285"/>
          <a:ext cx="11487150" cy="3352800"/>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171450</xdr:rowOff>
    </xdr:to>
    <xdr:pic>
      <xdr:nvPicPr>
        <xdr:cNvPr id="562" name="ID_115439742B1C46D996B2A654D9D2E7E0"/>
        <xdr:cNvPicPr>
          <a:picLocks noChangeAspect="1"/>
        </xdr:cNvPicPr>
      </xdr:nvPicPr>
      <xdr:blipFill>
        <a:blip r:embed="rId166"/>
        <a:stretch>
          <a:fillRect/>
        </a:stretch>
      </xdr:blipFill>
      <xdr:spPr>
        <a:xfrm>
          <a:off x="13330555" y="100000435"/>
          <a:ext cx="7429500" cy="3067050"/>
        </a:xfrm>
        <a:prstGeom prst="rect">
          <a:avLst/>
        </a:prstGeom>
        <a:noFill/>
        <a:ln w="9525">
          <a:noFill/>
        </a:ln>
      </xdr:spPr>
    </xdr:pic>
    <xdr:clientData/>
  </xdr:twoCellAnchor>
  <xdr:twoCellAnchor editAs="oneCell">
    <xdr:from>
      <xdr:col>0</xdr:col>
      <xdr:colOff>0</xdr:colOff>
      <xdr:row>0</xdr:row>
      <xdr:rowOff>0</xdr:rowOff>
    </xdr:from>
    <xdr:to>
      <xdr:col>17</xdr:col>
      <xdr:colOff>609600</xdr:colOff>
      <xdr:row>17</xdr:row>
      <xdr:rowOff>28575</xdr:rowOff>
    </xdr:to>
    <xdr:pic>
      <xdr:nvPicPr>
        <xdr:cNvPr id="563" name="ID_62BE90AD19C84154A53C12EDF1824CFF"/>
        <xdr:cNvPicPr>
          <a:picLocks noChangeAspect="1"/>
        </xdr:cNvPicPr>
      </xdr:nvPicPr>
      <xdr:blipFill>
        <a:blip r:embed="rId167"/>
        <a:stretch>
          <a:fillRect/>
        </a:stretch>
      </xdr:blipFill>
      <xdr:spPr>
        <a:xfrm>
          <a:off x="13330555" y="82398235"/>
          <a:ext cx="12268200" cy="3105150"/>
        </a:xfrm>
        <a:prstGeom prst="rect">
          <a:avLst/>
        </a:prstGeom>
        <a:noFill/>
        <a:ln w="9525">
          <a:noFill/>
        </a:ln>
      </xdr:spPr>
    </xdr:pic>
    <xdr:clientData/>
  </xdr:twoCellAnchor>
  <xdr:twoCellAnchor editAs="oneCell">
    <xdr:from>
      <xdr:col>0</xdr:col>
      <xdr:colOff>0</xdr:colOff>
      <xdr:row>0</xdr:row>
      <xdr:rowOff>0</xdr:rowOff>
    </xdr:from>
    <xdr:to>
      <xdr:col>10</xdr:col>
      <xdr:colOff>400050</xdr:colOff>
      <xdr:row>12</xdr:row>
      <xdr:rowOff>85725</xdr:rowOff>
    </xdr:to>
    <xdr:pic>
      <xdr:nvPicPr>
        <xdr:cNvPr id="564" name="ID_5BAB0972D5C341B99EF2F322053779B1"/>
        <xdr:cNvPicPr>
          <a:picLocks noChangeAspect="1"/>
        </xdr:cNvPicPr>
      </xdr:nvPicPr>
      <xdr:blipFill>
        <a:blip r:embed="rId168"/>
        <a:stretch>
          <a:fillRect/>
        </a:stretch>
      </xdr:blipFill>
      <xdr:spPr>
        <a:xfrm>
          <a:off x="13330555" y="72339835"/>
          <a:ext cx="7258050" cy="2257425"/>
        </a:xfrm>
        <a:prstGeom prst="rect">
          <a:avLst/>
        </a:prstGeom>
        <a:noFill/>
        <a:ln w="9525">
          <a:noFill/>
        </a:ln>
      </xdr:spPr>
    </xdr:pic>
    <xdr:clientData/>
  </xdr:twoCellAnchor>
  <xdr:twoCellAnchor editAs="oneCell">
    <xdr:from>
      <xdr:col>0</xdr:col>
      <xdr:colOff>0</xdr:colOff>
      <xdr:row>0</xdr:row>
      <xdr:rowOff>0</xdr:rowOff>
    </xdr:from>
    <xdr:to>
      <xdr:col>10</xdr:col>
      <xdr:colOff>647700</xdr:colOff>
      <xdr:row>17</xdr:row>
      <xdr:rowOff>38100</xdr:rowOff>
    </xdr:to>
    <xdr:pic>
      <xdr:nvPicPr>
        <xdr:cNvPr id="565" name="ID_765E98CB33194EA99C516816318E2B7B"/>
        <xdr:cNvPicPr>
          <a:picLocks noChangeAspect="1"/>
        </xdr:cNvPicPr>
      </xdr:nvPicPr>
      <xdr:blipFill>
        <a:blip r:embed="rId169"/>
        <a:stretch>
          <a:fillRect/>
        </a:stretch>
      </xdr:blipFill>
      <xdr:spPr>
        <a:xfrm>
          <a:off x="13330555" y="72758935"/>
          <a:ext cx="7505700" cy="3114675"/>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13</xdr:row>
      <xdr:rowOff>47625</xdr:rowOff>
    </xdr:to>
    <xdr:pic>
      <xdr:nvPicPr>
        <xdr:cNvPr id="566" name="ID_AF81DA07528540CE8158052B15035278"/>
        <xdr:cNvPicPr>
          <a:picLocks noChangeAspect="1"/>
        </xdr:cNvPicPr>
      </xdr:nvPicPr>
      <xdr:blipFill>
        <a:blip r:embed="rId170"/>
        <a:stretch>
          <a:fillRect/>
        </a:stretch>
      </xdr:blipFill>
      <xdr:spPr>
        <a:xfrm>
          <a:off x="13330555" y="73178035"/>
          <a:ext cx="7429500" cy="2400300"/>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17</xdr:row>
      <xdr:rowOff>0</xdr:rowOff>
    </xdr:to>
    <xdr:pic>
      <xdr:nvPicPr>
        <xdr:cNvPr id="567" name="ID_2C22CE1A28BF4E1F93BD6DEC85B4B771"/>
        <xdr:cNvPicPr>
          <a:picLocks noChangeAspect="1"/>
        </xdr:cNvPicPr>
      </xdr:nvPicPr>
      <xdr:blipFill>
        <a:blip r:embed="rId171"/>
        <a:stretch>
          <a:fillRect/>
        </a:stretch>
      </xdr:blipFill>
      <xdr:spPr>
        <a:xfrm>
          <a:off x="13330555" y="122631835"/>
          <a:ext cx="7924800" cy="3076575"/>
        </a:xfrm>
        <a:prstGeom prst="rect">
          <a:avLst/>
        </a:prstGeom>
        <a:noFill/>
        <a:ln w="9525">
          <a:noFill/>
        </a:ln>
      </xdr:spPr>
    </xdr:pic>
    <xdr:clientData/>
  </xdr:twoCellAnchor>
  <xdr:twoCellAnchor editAs="oneCell">
    <xdr:from>
      <xdr:col>0</xdr:col>
      <xdr:colOff>0</xdr:colOff>
      <xdr:row>0</xdr:row>
      <xdr:rowOff>0</xdr:rowOff>
    </xdr:from>
    <xdr:to>
      <xdr:col>11</xdr:col>
      <xdr:colOff>9525</xdr:colOff>
      <xdr:row>12</xdr:row>
      <xdr:rowOff>95250</xdr:rowOff>
    </xdr:to>
    <xdr:pic>
      <xdr:nvPicPr>
        <xdr:cNvPr id="568" name="ID_D3FD47B7E383461E8C6BE4CFAB109E8B"/>
        <xdr:cNvPicPr>
          <a:picLocks noChangeAspect="1"/>
        </xdr:cNvPicPr>
      </xdr:nvPicPr>
      <xdr:blipFill>
        <a:blip r:embed="rId172"/>
        <a:stretch>
          <a:fillRect/>
        </a:stretch>
      </xdr:blipFill>
      <xdr:spPr>
        <a:xfrm>
          <a:off x="13330555" y="101467285"/>
          <a:ext cx="7553325" cy="2266950"/>
        </a:xfrm>
        <a:prstGeom prst="rect">
          <a:avLst/>
        </a:prstGeom>
        <a:noFill/>
        <a:ln w="9525">
          <a:noFill/>
        </a:ln>
      </xdr:spPr>
    </xdr:pic>
    <xdr:clientData/>
  </xdr:twoCellAnchor>
  <xdr:twoCellAnchor editAs="oneCell">
    <xdr:from>
      <xdr:col>0</xdr:col>
      <xdr:colOff>0</xdr:colOff>
      <xdr:row>0</xdr:row>
      <xdr:rowOff>0</xdr:rowOff>
    </xdr:from>
    <xdr:to>
      <xdr:col>10</xdr:col>
      <xdr:colOff>409575</xdr:colOff>
      <xdr:row>21</xdr:row>
      <xdr:rowOff>9525</xdr:rowOff>
    </xdr:to>
    <xdr:pic>
      <xdr:nvPicPr>
        <xdr:cNvPr id="569" name="ID_363FC7CAEE9A47D2BC41AAD534628F81"/>
        <xdr:cNvPicPr>
          <a:picLocks noChangeAspect="1"/>
        </xdr:cNvPicPr>
      </xdr:nvPicPr>
      <xdr:blipFill>
        <a:blip r:embed="rId173"/>
        <a:stretch>
          <a:fillRect/>
        </a:stretch>
      </xdr:blipFill>
      <xdr:spPr>
        <a:xfrm>
          <a:off x="13330555" y="73806685"/>
          <a:ext cx="7267575" cy="3810000"/>
        </a:xfrm>
        <a:prstGeom prst="rect">
          <a:avLst/>
        </a:prstGeom>
        <a:noFill/>
        <a:ln w="9525">
          <a:noFill/>
        </a:ln>
      </xdr:spPr>
    </xdr:pic>
    <xdr:clientData/>
  </xdr:twoCellAnchor>
  <xdr:twoCellAnchor editAs="oneCell">
    <xdr:from>
      <xdr:col>0</xdr:col>
      <xdr:colOff>0</xdr:colOff>
      <xdr:row>0</xdr:row>
      <xdr:rowOff>0</xdr:rowOff>
    </xdr:from>
    <xdr:to>
      <xdr:col>11</xdr:col>
      <xdr:colOff>57150</xdr:colOff>
      <xdr:row>5</xdr:row>
      <xdr:rowOff>171450</xdr:rowOff>
    </xdr:to>
    <xdr:pic>
      <xdr:nvPicPr>
        <xdr:cNvPr id="570" name="ID_DE2D94FBA3444747BC77563139CD05A9"/>
        <xdr:cNvPicPr>
          <a:picLocks noChangeAspect="1"/>
        </xdr:cNvPicPr>
      </xdr:nvPicPr>
      <xdr:blipFill>
        <a:blip r:embed="rId174"/>
        <a:stretch>
          <a:fillRect/>
        </a:stretch>
      </xdr:blipFill>
      <xdr:spPr>
        <a:xfrm>
          <a:off x="13330555" y="101886385"/>
          <a:ext cx="7600950" cy="1076325"/>
        </a:xfrm>
        <a:prstGeom prst="rect">
          <a:avLst/>
        </a:prstGeom>
        <a:noFill/>
        <a:ln w="9525">
          <a:noFill/>
        </a:ln>
      </xdr:spPr>
    </xdr:pic>
    <xdr:clientData/>
  </xdr:twoCellAnchor>
  <xdr:twoCellAnchor editAs="oneCell">
    <xdr:from>
      <xdr:col>0</xdr:col>
      <xdr:colOff>0</xdr:colOff>
      <xdr:row>0</xdr:row>
      <xdr:rowOff>0</xdr:rowOff>
    </xdr:from>
    <xdr:to>
      <xdr:col>10</xdr:col>
      <xdr:colOff>66675</xdr:colOff>
      <xdr:row>16</xdr:row>
      <xdr:rowOff>152400</xdr:rowOff>
    </xdr:to>
    <xdr:pic>
      <xdr:nvPicPr>
        <xdr:cNvPr id="571" name="ID_89F403C3EF394649947D96DFDAC14F6F"/>
        <xdr:cNvPicPr>
          <a:picLocks noChangeAspect="1"/>
        </xdr:cNvPicPr>
      </xdr:nvPicPr>
      <xdr:blipFill>
        <a:blip r:embed="rId175"/>
        <a:stretch>
          <a:fillRect/>
        </a:stretch>
      </xdr:blipFill>
      <xdr:spPr>
        <a:xfrm>
          <a:off x="13330555" y="84074635"/>
          <a:ext cx="6924675" cy="3048000"/>
        </a:xfrm>
        <a:prstGeom prst="rect">
          <a:avLst/>
        </a:prstGeom>
        <a:noFill/>
        <a:ln w="9525">
          <a:noFill/>
        </a:ln>
      </xdr:spPr>
    </xdr:pic>
    <xdr:clientData/>
  </xdr:twoCellAnchor>
  <xdr:twoCellAnchor editAs="oneCell">
    <xdr:from>
      <xdr:col>0</xdr:col>
      <xdr:colOff>0</xdr:colOff>
      <xdr:row>0</xdr:row>
      <xdr:rowOff>0</xdr:rowOff>
    </xdr:from>
    <xdr:to>
      <xdr:col>9</xdr:col>
      <xdr:colOff>295275</xdr:colOff>
      <xdr:row>17</xdr:row>
      <xdr:rowOff>47625</xdr:rowOff>
    </xdr:to>
    <xdr:pic>
      <xdr:nvPicPr>
        <xdr:cNvPr id="572" name="ID_36D55550B0F24BE199FCB9C1D123C9E1"/>
        <xdr:cNvPicPr>
          <a:picLocks noChangeAspect="1"/>
        </xdr:cNvPicPr>
      </xdr:nvPicPr>
      <xdr:blipFill>
        <a:blip r:embed="rId176"/>
        <a:stretch>
          <a:fillRect/>
        </a:stretch>
      </xdr:blipFill>
      <xdr:spPr>
        <a:xfrm>
          <a:off x="13330555" y="74225785"/>
          <a:ext cx="6467475" cy="3124200"/>
        </a:xfrm>
        <a:prstGeom prst="rect">
          <a:avLst/>
        </a:prstGeom>
        <a:noFill/>
        <a:ln w="9525">
          <a:noFill/>
        </a:ln>
      </xdr:spPr>
    </xdr:pic>
    <xdr:clientData/>
  </xdr:twoCellAnchor>
  <xdr:twoCellAnchor editAs="oneCell">
    <xdr:from>
      <xdr:col>0</xdr:col>
      <xdr:colOff>0</xdr:colOff>
      <xdr:row>0</xdr:row>
      <xdr:rowOff>0</xdr:rowOff>
    </xdr:from>
    <xdr:to>
      <xdr:col>10</xdr:col>
      <xdr:colOff>76200</xdr:colOff>
      <xdr:row>16</xdr:row>
      <xdr:rowOff>161925</xdr:rowOff>
    </xdr:to>
    <xdr:pic>
      <xdr:nvPicPr>
        <xdr:cNvPr id="573" name="ID_A612601D1AF645DC8F63A7F0AFEBDBF0"/>
        <xdr:cNvPicPr>
          <a:picLocks noChangeAspect="1"/>
        </xdr:cNvPicPr>
      </xdr:nvPicPr>
      <xdr:blipFill>
        <a:blip r:embed="rId177"/>
        <a:stretch>
          <a:fillRect/>
        </a:stretch>
      </xdr:blipFill>
      <xdr:spPr>
        <a:xfrm>
          <a:off x="13330555" y="74644885"/>
          <a:ext cx="6934200" cy="3057525"/>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17</xdr:row>
      <xdr:rowOff>28575</xdr:rowOff>
    </xdr:to>
    <xdr:pic>
      <xdr:nvPicPr>
        <xdr:cNvPr id="574" name="ID_0E55897FFD054C7AA759BECB9BAFFF61"/>
        <xdr:cNvPicPr>
          <a:picLocks noChangeAspect="1"/>
        </xdr:cNvPicPr>
      </xdr:nvPicPr>
      <xdr:blipFill>
        <a:blip r:embed="rId178"/>
        <a:stretch>
          <a:fillRect/>
        </a:stretch>
      </xdr:blipFill>
      <xdr:spPr>
        <a:xfrm>
          <a:off x="13330555" y="84912835"/>
          <a:ext cx="7010400" cy="3105150"/>
        </a:xfrm>
        <a:prstGeom prst="rect">
          <a:avLst/>
        </a:prstGeom>
        <a:noFill/>
        <a:ln w="9525">
          <a:noFill/>
        </a:ln>
      </xdr:spPr>
    </xdr:pic>
    <xdr:clientData/>
  </xdr:twoCellAnchor>
  <xdr:twoCellAnchor editAs="oneCell">
    <xdr:from>
      <xdr:col>0</xdr:col>
      <xdr:colOff>0</xdr:colOff>
      <xdr:row>0</xdr:row>
      <xdr:rowOff>0</xdr:rowOff>
    </xdr:from>
    <xdr:to>
      <xdr:col>10</xdr:col>
      <xdr:colOff>447675</xdr:colOff>
      <xdr:row>12</xdr:row>
      <xdr:rowOff>47625</xdr:rowOff>
    </xdr:to>
    <xdr:pic>
      <xdr:nvPicPr>
        <xdr:cNvPr id="575" name="ID_778B579DBFD34184A6EBF0BDD8D1F93A"/>
        <xdr:cNvPicPr>
          <a:picLocks noChangeAspect="1"/>
        </xdr:cNvPicPr>
      </xdr:nvPicPr>
      <xdr:blipFill>
        <a:blip r:embed="rId179"/>
        <a:stretch>
          <a:fillRect/>
        </a:stretch>
      </xdr:blipFill>
      <xdr:spPr>
        <a:xfrm>
          <a:off x="13330555" y="75063985"/>
          <a:ext cx="7305675" cy="2219325"/>
        </a:xfrm>
        <a:prstGeom prst="rect">
          <a:avLst/>
        </a:prstGeom>
        <a:noFill/>
        <a:ln w="9525">
          <a:noFill/>
        </a:ln>
      </xdr:spPr>
    </xdr:pic>
    <xdr:clientData/>
  </xdr:twoCellAnchor>
  <xdr:twoCellAnchor editAs="oneCell">
    <xdr:from>
      <xdr:col>0</xdr:col>
      <xdr:colOff>0</xdr:colOff>
      <xdr:row>0</xdr:row>
      <xdr:rowOff>0</xdr:rowOff>
    </xdr:from>
    <xdr:to>
      <xdr:col>11</xdr:col>
      <xdr:colOff>466725</xdr:colOff>
      <xdr:row>16</xdr:row>
      <xdr:rowOff>123825</xdr:rowOff>
    </xdr:to>
    <xdr:pic>
      <xdr:nvPicPr>
        <xdr:cNvPr id="576" name="ID_20835FD7B70F4FECBC5782C2FE789B63"/>
        <xdr:cNvPicPr>
          <a:picLocks noChangeAspect="1"/>
        </xdr:cNvPicPr>
      </xdr:nvPicPr>
      <xdr:blipFill>
        <a:blip r:embed="rId180"/>
        <a:stretch>
          <a:fillRect/>
        </a:stretch>
      </xdr:blipFill>
      <xdr:spPr>
        <a:xfrm>
          <a:off x="13330555" y="103143685"/>
          <a:ext cx="8010525" cy="3019425"/>
        </a:xfrm>
        <a:prstGeom prst="rect">
          <a:avLst/>
        </a:prstGeom>
        <a:noFill/>
        <a:ln w="9525">
          <a:noFill/>
        </a:ln>
      </xdr:spPr>
    </xdr:pic>
    <xdr:clientData/>
  </xdr:twoCellAnchor>
  <xdr:twoCellAnchor editAs="oneCell">
    <xdr:from>
      <xdr:col>0</xdr:col>
      <xdr:colOff>0</xdr:colOff>
      <xdr:row>0</xdr:row>
      <xdr:rowOff>0</xdr:rowOff>
    </xdr:from>
    <xdr:to>
      <xdr:col>10</xdr:col>
      <xdr:colOff>114300</xdr:colOff>
      <xdr:row>16</xdr:row>
      <xdr:rowOff>152400</xdr:rowOff>
    </xdr:to>
    <xdr:pic>
      <xdr:nvPicPr>
        <xdr:cNvPr id="577" name="ID_115E76535B9D4D1381F9F5C57C43E184"/>
        <xdr:cNvPicPr>
          <a:picLocks noChangeAspect="1"/>
        </xdr:cNvPicPr>
      </xdr:nvPicPr>
      <xdr:blipFill>
        <a:blip r:embed="rId181"/>
        <a:stretch>
          <a:fillRect/>
        </a:stretch>
      </xdr:blipFill>
      <xdr:spPr>
        <a:xfrm>
          <a:off x="13330555" y="75483085"/>
          <a:ext cx="6972300" cy="3048000"/>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16</xdr:row>
      <xdr:rowOff>171450</xdr:rowOff>
    </xdr:to>
    <xdr:pic>
      <xdr:nvPicPr>
        <xdr:cNvPr id="578" name="ID_DA190606C1E14FB099861FA8581CC7D0"/>
        <xdr:cNvPicPr>
          <a:picLocks noChangeAspect="1"/>
        </xdr:cNvPicPr>
      </xdr:nvPicPr>
      <xdr:blipFill>
        <a:blip r:embed="rId182"/>
        <a:stretch>
          <a:fillRect/>
        </a:stretch>
      </xdr:blipFill>
      <xdr:spPr>
        <a:xfrm>
          <a:off x="13330555" y="85751035"/>
          <a:ext cx="7448550" cy="3067050"/>
        </a:xfrm>
        <a:prstGeom prst="rect">
          <a:avLst/>
        </a:prstGeom>
        <a:noFill/>
        <a:ln w="9525">
          <a:noFill/>
        </a:ln>
      </xdr:spPr>
    </xdr:pic>
    <xdr:clientData/>
  </xdr:twoCellAnchor>
  <xdr:twoCellAnchor editAs="oneCell">
    <xdr:from>
      <xdr:col>0</xdr:col>
      <xdr:colOff>0</xdr:colOff>
      <xdr:row>0</xdr:row>
      <xdr:rowOff>0</xdr:rowOff>
    </xdr:from>
    <xdr:to>
      <xdr:col>10</xdr:col>
      <xdr:colOff>180975</xdr:colOff>
      <xdr:row>7</xdr:row>
      <xdr:rowOff>171450</xdr:rowOff>
    </xdr:to>
    <xdr:pic>
      <xdr:nvPicPr>
        <xdr:cNvPr id="579" name="ID_5C231636A34A4C45AE1AB002C171DE85"/>
        <xdr:cNvPicPr>
          <a:picLocks noChangeAspect="1"/>
        </xdr:cNvPicPr>
      </xdr:nvPicPr>
      <xdr:blipFill>
        <a:blip r:embed="rId183"/>
        <a:stretch>
          <a:fillRect/>
        </a:stretch>
      </xdr:blipFill>
      <xdr:spPr>
        <a:xfrm>
          <a:off x="13654405" y="75987910"/>
          <a:ext cx="7038975" cy="1438275"/>
        </a:xfrm>
        <a:prstGeom prst="rect">
          <a:avLst/>
        </a:prstGeom>
        <a:noFill/>
        <a:ln w="9525">
          <a:noFill/>
        </a:ln>
      </xdr:spPr>
    </xdr:pic>
    <xdr:clientData/>
  </xdr:twoCellAnchor>
  <xdr:twoCellAnchor editAs="oneCell">
    <xdr:from>
      <xdr:col>0</xdr:col>
      <xdr:colOff>0</xdr:colOff>
      <xdr:row>0</xdr:row>
      <xdr:rowOff>0</xdr:rowOff>
    </xdr:from>
    <xdr:to>
      <xdr:col>10</xdr:col>
      <xdr:colOff>85725</xdr:colOff>
      <xdr:row>16</xdr:row>
      <xdr:rowOff>161925</xdr:rowOff>
    </xdr:to>
    <xdr:pic>
      <xdr:nvPicPr>
        <xdr:cNvPr id="580" name="ID_E68AF367D4064BFCB914414727E05149"/>
        <xdr:cNvPicPr>
          <a:picLocks noChangeAspect="1"/>
        </xdr:cNvPicPr>
      </xdr:nvPicPr>
      <xdr:blipFill>
        <a:blip r:embed="rId184"/>
        <a:stretch>
          <a:fillRect/>
        </a:stretch>
      </xdr:blipFill>
      <xdr:spPr>
        <a:xfrm>
          <a:off x="13330555" y="86798785"/>
          <a:ext cx="6943725" cy="3057525"/>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8</xdr:row>
      <xdr:rowOff>133350</xdr:rowOff>
    </xdr:to>
    <xdr:pic>
      <xdr:nvPicPr>
        <xdr:cNvPr id="581" name="ID_9E5D3583E4004A6583CAFD015691289D"/>
        <xdr:cNvPicPr>
          <a:picLocks noChangeAspect="1"/>
        </xdr:cNvPicPr>
      </xdr:nvPicPr>
      <xdr:blipFill>
        <a:blip r:embed="rId185"/>
        <a:stretch>
          <a:fillRect/>
        </a:stretch>
      </xdr:blipFill>
      <xdr:spPr>
        <a:xfrm>
          <a:off x="13330555" y="76740385"/>
          <a:ext cx="7019925" cy="1581150"/>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17</xdr:row>
      <xdr:rowOff>0</xdr:rowOff>
    </xdr:to>
    <xdr:pic>
      <xdr:nvPicPr>
        <xdr:cNvPr id="582" name="ID_D06E8C51C48F43C0926E44E4E2AD7399"/>
        <xdr:cNvPicPr>
          <a:picLocks noChangeAspect="1"/>
        </xdr:cNvPicPr>
      </xdr:nvPicPr>
      <xdr:blipFill>
        <a:blip r:embed="rId186"/>
        <a:stretch>
          <a:fillRect/>
        </a:stretch>
      </xdr:blipFill>
      <xdr:spPr>
        <a:xfrm>
          <a:off x="13330555" y="77159485"/>
          <a:ext cx="6981825" cy="3076575"/>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8</xdr:row>
      <xdr:rowOff>95250</xdr:rowOff>
    </xdr:to>
    <xdr:pic>
      <xdr:nvPicPr>
        <xdr:cNvPr id="583" name="ID_38AEAB1A324641BCA4F22D1136564213"/>
        <xdr:cNvPicPr>
          <a:picLocks noChangeAspect="1"/>
        </xdr:cNvPicPr>
      </xdr:nvPicPr>
      <xdr:blipFill>
        <a:blip r:embed="rId187"/>
        <a:stretch>
          <a:fillRect/>
        </a:stretch>
      </xdr:blipFill>
      <xdr:spPr>
        <a:xfrm>
          <a:off x="13330555" y="77578585"/>
          <a:ext cx="7019925" cy="1543050"/>
        </a:xfrm>
        <a:prstGeom prst="rect">
          <a:avLst/>
        </a:prstGeom>
        <a:noFill/>
        <a:ln w="9525">
          <a:noFill/>
        </a:ln>
      </xdr:spPr>
    </xdr:pic>
    <xdr:clientData/>
  </xdr:twoCellAnchor>
  <xdr:twoCellAnchor editAs="oneCell">
    <xdr:from>
      <xdr:col>0</xdr:col>
      <xdr:colOff>0</xdr:colOff>
      <xdr:row>0</xdr:row>
      <xdr:rowOff>0</xdr:rowOff>
    </xdr:from>
    <xdr:to>
      <xdr:col>18</xdr:col>
      <xdr:colOff>114300</xdr:colOff>
      <xdr:row>18</xdr:row>
      <xdr:rowOff>123825</xdr:rowOff>
    </xdr:to>
    <xdr:pic>
      <xdr:nvPicPr>
        <xdr:cNvPr id="584" name="ID_43B317551CFC4CCDAC073AE20A1B5DCC"/>
        <xdr:cNvPicPr>
          <a:picLocks noChangeAspect="1"/>
        </xdr:cNvPicPr>
      </xdr:nvPicPr>
      <xdr:blipFill>
        <a:blip r:embed="rId188"/>
        <a:stretch>
          <a:fillRect/>
        </a:stretch>
      </xdr:blipFill>
      <xdr:spPr>
        <a:xfrm>
          <a:off x="13330555" y="77997685"/>
          <a:ext cx="12458700" cy="3381375"/>
        </a:xfrm>
        <a:prstGeom prst="rect">
          <a:avLst/>
        </a:prstGeom>
        <a:noFill/>
        <a:ln w="9525">
          <a:noFill/>
        </a:ln>
      </xdr:spPr>
    </xdr:pic>
    <xdr:clientData/>
  </xdr:twoCellAnchor>
  <xdr:twoCellAnchor editAs="oneCell">
    <xdr:from>
      <xdr:col>0</xdr:col>
      <xdr:colOff>0</xdr:colOff>
      <xdr:row>0</xdr:row>
      <xdr:rowOff>0</xdr:rowOff>
    </xdr:from>
    <xdr:to>
      <xdr:col>10</xdr:col>
      <xdr:colOff>114300</xdr:colOff>
      <xdr:row>17</xdr:row>
      <xdr:rowOff>19050</xdr:rowOff>
    </xdr:to>
    <xdr:pic>
      <xdr:nvPicPr>
        <xdr:cNvPr id="585" name="ID_82B4BCFF55C84DEC883B672A0977766C"/>
        <xdr:cNvPicPr>
          <a:picLocks noChangeAspect="1"/>
        </xdr:cNvPicPr>
      </xdr:nvPicPr>
      <xdr:blipFill>
        <a:blip r:embed="rId189"/>
        <a:stretch>
          <a:fillRect/>
        </a:stretch>
      </xdr:blipFill>
      <xdr:spPr>
        <a:xfrm>
          <a:off x="13330555" y="88475185"/>
          <a:ext cx="6972300" cy="3095625"/>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11</xdr:row>
      <xdr:rowOff>47625</xdr:rowOff>
    </xdr:to>
    <xdr:pic>
      <xdr:nvPicPr>
        <xdr:cNvPr id="586" name="ID_37BF6976862C4361BE126C2172921A87"/>
        <xdr:cNvPicPr>
          <a:picLocks noChangeAspect="1"/>
        </xdr:cNvPicPr>
      </xdr:nvPicPr>
      <xdr:blipFill>
        <a:blip r:embed="rId190"/>
        <a:stretch>
          <a:fillRect/>
        </a:stretch>
      </xdr:blipFill>
      <xdr:spPr>
        <a:xfrm>
          <a:off x="13330555" y="78416785"/>
          <a:ext cx="7010400" cy="2038350"/>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17</xdr:row>
      <xdr:rowOff>28575</xdr:rowOff>
    </xdr:to>
    <xdr:pic>
      <xdr:nvPicPr>
        <xdr:cNvPr id="587" name="ID_CDD5759CE451467D8E80C1F105D0D00D"/>
        <xdr:cNvPicPr>
          <a:picLocks noChangeAspect="1"/>
        </xdr:cNvPicPr>
      </xdr:nvPicPr>
      <xdr:blipFill>
        <a:blip r:embed="rId191"/>
        <a:stretch>
          <a:fillRect/>
        </a:stretch>
      </xdr:blipFill>
      <xdr:spPr>
        <a:xfrm>
          <a:off x="13330555" y="78835885"/>
          <a:ext cx="7467600" cy="3105150"/>
        </a:xfrm>
        <a:prstGeom prst="rect">
          <a:avLst/>
        </a:prstGeom>
        <a:noFill/>
        <a:ln w="9525">
          <a:noFill/>
        </a:ln>
      </xdr:spPr>
    </xdr:pic>
    <xdr:clientData/>
  </xdr:twoCellAnchor>
  <xdr:twoCellAnchor editAs="oneCell">
    <xdr:from>
      <xdr:col>0</xdr:col>
      <xdr:colOff>0</xdr:colOff>
      <xdr:row>0</xdr:row>
      <xdr:rowOff>0</xdr:rowOff>
    </xdr:from>
    <xdr:to>
      <xdr:col>19</xdr:col>
      <xdr:colOff>0</xdr:colOff>
      <xdr:row>23</xdr:row>
      <xdr:rowOff>114300</xdr:rowOff>
    </xdr:to>
    <xdr:pic>
      <xdr:nvPicPr>
        <xdr:cNvPr id="588" name="ID_B28CE349E37D47819DBF6155EED4324A"/>
        <xdr:cNvPicPr>
          <a:picLocks noChangeAspect="1"/>
        </xdr:cNvPicPr>
      </xdr:nvPicPr>
      <xdr:blipFill>
        <a:blip r:embed="rId192"/>
        <a:stretch>
          <a:fillRect/>
        </a:stretch>
      </xdr:blipFill>
      <xdr:spPr>
        <a:xfrm>
          <a:off x="13330555" y="118440835"/>
          <a:ext cx="13030200" cy="4276725"/>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16</xdr:row>
      <xdr:rowOff>161925</xdr:rowOff>
    </xdr:to>
    <xdr:pic>
      <xdr:nvPicPr>
        <xdr:cNvPr id="589" name="ID_3B15D0F35BC54A47B5C94DAF2D4CC512"/>
        <xdr:cNvPicPr>
          <a:picLocks noChangeAspect="1"/>
        </xdr:cNvPicPr>
      </xdr:nvPicPr>
      <xdr:blipFill>
        <a:blip r:embed="rId193"/>
        <a:stretch>
          <a:fillRect/>
        </a:stretch>
      </xdr:blipFill>
      <xdr:spPr>
        <a:xfrm>
          <a:off x="13330555" y="106915585"/>
          <a:ext cx="7458075" cy="3057525"/>
        </a:xfrm>
        <a:prstGeom prst="rect">
          <a:avLst/>
        </a:prstGeom>
        <a:noFill/>
        <a:ln w="9525">
          <a:noFill/>
        </a:ln>
      </xdr:spPr>
    </xdr:pic>
    <xdr:clientData/>
  </xdr:twoCellAnchor>
  <xdr:twoCellAnchor editAs="oneCell">
    <xdr:from>
      <xdr:col>0</xdr:col>
      <xdr:colOff>0</xdr:colOff>
      <xdr:row>0</xdr:row>
      <xdr:rowOff>0</xdr:rowOff>
    </xdr:from>
    <xdr:to>
      <xdr:col>12</xdr:col>
      <xdr:colOff>342900</xdr:colOff>
      <xdr:row>26</xdr:row>
      <xdr:rowOff>104775</xdr:rowOff>
    </xdr:to>
    <xdr:pic>
      <xdr:nvPicPr>
        <xdr:cNvPr id="590" name="ID_B82DDCC6F9954AFCAC19FC11354B07FD"/>
        <xdr:cNvPicPr>
          <a:picLocks noChangeAspect="1"/>
        </xdr:cNvPicPr>
      </xdr:nvPicPr>
      <xdr:blipFill>
        <a:blip r:embed="rId194"/>
        <a:stretch>
          <a:fillRect/>
        </a:stretch>
      </xdr:blipFill>
      <xdr:spPr>
        <a:xfrm>
          <a:off x="13330555" y="89313385"/>
          <a:ext cx="8572500" cy="4810125"/>
        </a:xfrm>
        <a:prstGeom prst="rect">
          <a:avLst/>
        </a:prstGeom>
        <a:noFill/>
        <a:ln w="9525">
          <a:noFill/>
        </a:ln>
      </xdr:spPr>
    </xdr:pic>
    <xdr:clientData/>
  </xdr:twoCellAnchor>
  <xdr:twoCellAnchor editAs="oneCell">
    <xdr:from>
      <xdr:col>0</xdr:col>
      <xdr:colOff>0</xdr:colOff>
      <xdr:row>0</xdr:row>
      <xdr:rowOff>0</xdr:rowOff>
    </xdr:from>
    <xdr:to>
      <xdr:col>10</xdr:col>
      <xdr:colOff>619125</xdr:colOff>
      <xdr:row>8</xdr:row>
      <xdr:rowOff>123825</xdr:rowOff>
    </xdr:to>
    <xdr:pic>
      <xdr:nvPicPr>
        <xdr:cNvPr id="591" name="ID_5A64B907D5B842459E20D6C1BD9F59E9"/>
        <xdr:cNvPicPr>
          <a:picLocks noChangeAspect="1"/>
        </xdr:cNvPicPr>
      </xdr:nvPicPr>
      <xdr:blipFill>
        <a:blip r:embed="rId195"/>
        <a:stretch>
          <a:fillRect/>
        </a:stretch>
      </xdr:blipFill>
      <xdr:spPr>
        <a:xfrm>
          <a:off x="13330555" y="79254985"/>
          <a:ext cx="7477125" cy="1571625"/>
        </a:xfrm>
        <a:prstGeom prst="rect">
          <a:avLst/>
        </a:prstGeom>
        <a:noFill/>
        <a:ln w="9525">
          <a:noFill/>
        </a:ln>
      </xdr:spPr>
    </xdr:pic>
    <xdr:clientData/>
  </xdr:twoCellAnchor>
  <xdr:twoCellAnchor editAs="oneCell">
    <xdr:from>
      <xdr:col>0</xdr:col>
      <xdr:colOff>0</xdr:colOff>
      <xdr:row>0</xdr:row>
      <xdr:rowOff>0</xdr:rowOff>
    </xdr:from>
    <xdr:to>
      <xdr:col>9</xdr:col>
      <xdr:colOff>409575</xdr:colOff>
      <xdr:row>8</xdr:row>
      <xdr:rowOff>142875</xdr:rowOff>
    </xdr:to>
    <xdr:pic>
      <xdr:nvPicPr>
        <xdr:cNvPr id="592" name="ID_35A07D3D2D3E4896A86B9AD4F90912BE"/>
        <xdr:cNvPicPr>
          <a:picLocks noChangeAspect="1"/>
        </xdr:cNvPicPr>
      </xdr:nvPicPr>
      <xdr:blipFill>
        <a:blip r:embed="rId196"/>
        <a:stretch>
          <a:fillRect/>
        </a:stretch>
      </xdr:blipFill>
      <xdr:spPr>
        <a:xfrm>
          <a:off x="13330555" y="79674085"/>
          <a:ext cx="6581775" cy="1590675"/>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17</xdr:row>
      <xdr:rowOff>57150</xdr:rowOff>
    </xdr:to>
    <xdr:pic>
      <xdr:nvPicPr>
        <xdr:cNvPr id="593" name="ID_1B42439616D44531A6E3065242DAFD58"/>
        <xdr:cNvPicPr>
          <a:picLocks noChangeAspect="1"/>
        </xdr:cNvPicPr>
      </xdr:nvPicPr>
      <xdr:blipFill>
        <a:blip r:embed="rId197"/>
        <a:stretch>
          <a:fillRect/>
        </a:stretch>
      </xdr:blipFill>
      <xdr:spPr>
        <a:xfrm>
          <a:off x="13330555" y="80093185"/>
          <a:ext cx="7000875" cy="3133725"/>
        </a:xfrm>
        <a:prstGeom prst="rect">
          <a:avLst/>
        </a:prstGeom>
        <a:noFill/>
        <a:ln w="9525">
          <a:noFill/>
        </a:ln>
      </xdr:spPr>
    </xdr:pic>
    <xdr:clientData/>
  </xdr:twoCellAnchor>
  <xdr:twoCellAnchor editAs="oneCell">
    <xdr:from>
      <xdr:col>0</xdr:col>
      <xdr:colOff>0</xdr:colOff>
      <xdr:row>0</xdr:row>
      <xdr:rowOff>0</xdr:rowOff>
    </xdr:from>
    <xdr:to>
      <xdr:col>13</xdr:col>
      <xdr:colOff>514350</xdr:colOff>
      <xdr:row>22</xdr:row>
      <xdr:rowOff>152400</xdr:rowOff>
    </xdr:to>
    <xdr:pic>
      <xdr:nvPicPr>
        <xdr:cNvPr id="594" name="ID_4A31CBDD606D4AEEA496989C4FEC6E8F"/>
        <xdr:cNvPicPr>
          <a:picLocks noChangeAspect="1"/>
        </xdr:cNvPicPr>
      </xdr:nvPicPr>
      <xdr:blipFill>
        <a:blip r:embed="rId198"/>
        <a:stretch>
          <a:fillRect/>
        </a:stretch>
      </xdr:blipFill>
      <xdr:spPr>
        <a:xfrm>
          <a:off x="13330555" y="131432935"/>
          <a:ext cx="9429750" cy="4133850"/>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16</xdr:row>
      <xdr:rowOff>171450</xdr:rowOff>
    </xdr:to>
    <xdr:pic>
      <xdr:nvPicPr>
        <xdr:cNvPr id="595" name="ID_FA0CA3E40E8E43B99B2E050049240FBC"/>
        <xdr:cNvPicPr>
          <a:picLocks noChangeAspect="1"/>
        </xdr:cNvPicPr>
      </xdr:nvPicPr>
      <xdr:blipFill>
        <a:blip r:embed="rId199"/>
        <a:stretch>
          <a:fillRect/>
        </a:stretch>
      </xdr:blipFill>
      <xdr:spPr>
        <a:xfrm>
          <a:off x="13330555" y="108172885"/>
          <a:ext cx="7467600" cy="3067050"/>
        </a:xfrm>
        <a:prstGeom prst="rect">
          <a:avLst/>
        </a:prstGeom>
        <a:noFill/>
        <a:ln w="9525">
          <a:noFill/>
        </a:ln>
      </xdr:spPr>
    </xdr:pic>
    <xdr:clientData/>
  </xdr:twoCellAnchor>
  <xdr:twoCellAnchor editAs="oneCell">
    <xdr:from>
      <xdr:col>0</xdr:col>
      <xdr:colOff>0</xdr:colOff>
      <xdr:row>0</xdr:row>
      <xdr:rowOff>0</xdr:rowOff>
    </xdr:from>
    <xdr:to>
      <xdr:col>10</xdr:col>
      <xdr:colOff>228600</xdr:colOff>
      <xdr:row>8</xdr:row>
      <xdr:rowOff>142875</xdr:rowOff>
    </xdr:to>
    <xdr:pic>
      <xdr:nvPicPr>
        <xdr:cNvPr id="596" name="ID_FF89C67D0CBC405293C39CC40DD016DF"/>
        <xdr:cNvPicPr>
          <a:picLocks noChangeAspect="1"/>
        </xdr:cNvPicPr>
      </xdr:nvPicPr>
      <xdr:blipFill>
        <a:blip r:embed="rId200"/>
        <a:stretch>
          <a:fillRect/>
        </a:stretch>
      </xdr:blipFill>
      <xdr:spPr>
        <a:xfrm>
          <a:off x="13330555" y="80512285"/>
          <a:ext cx="7086600" cy="1590675"/>
        </a:xfrm>
        <a:prstGeom prst="rect">
          <a:avLst/>
        </a:prstGeom>
        <a:noFill/>
        <a:ln w="9525">
          <a:noFill/>
        </a:ln>
      </xdr:spPr>
    </xdr:pic>
    <xdr:clientData/>
  </xdr:twoCellAnchor>
  <xdr:twoCellAnchor editAs="oneCell">
    <xdr:from>
      <xdr:col>0</xdr:col>
      <xdr:colOff>0</xdr:colOff>
      <xdr:row>0</xdr:row>
      <xdr:rowOff>0</xdr:rowOff>
    </xdr:from>
    <xdr:to>
      <xdr:col>17</xdr:col>
      <xdr:colOff>419100</xdr:colOff>
      <xdr:row>14</xdr:row>
      <xdr:rowOff>152400</xdr:rowOff>
    </xdr:to>
    <xdr:pic>
      <xdr:nvPicPr>
        <xdr:cNvPr id="597" name="ID_B39527456E4140188807EF18E426CD76"/>
        <xdr:cNvPicPr>
          <a:picLocks noChangeAspect="1"/>
        </xdr:cNvPicPr>
      </xdr:nvPicPr>
      <xdr:blipFill>
        <a:blip r:embed="rId201"/>
        <a:stretch>
          <a:fillRect/>
        </a:stretch>
      </xdr:blipFill>
      <xdr:spPr>
        <a:xfrm>
          <a:off x="13330555" y="81979135"/>
          <a:ext cx="12077700" cy="2686050"/>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17</xdr:row>
      <xdr:rowOff>38100</xdr:rowOff>
    </xdr:to>
    <xdr:pic>
      <xdr:nvPicPr>
        <xdr:cNvPr id="598" name="ID_19876D1FD6B7402EB79015EC5A44F800"/>
        <xdr:cNvPicPr>
          <a:picLocks noChangeAspect="1"/>
        </xdr:cNvPicPr>
      </xdr:nvPicPr>
      <xdr:blipFill>
        <a:blip r:embed="rId202"/>
        <a:stretch>
          <a:fillRect/>
        </a:stretch>
      </xdr:blipFill>
      <xdr:spPr>
        <a:xfrm>
          <a:off x="13330555" y="82817335"/>
          <a:ext cx="7019925" cy="3114675"/>
        </a:xfrm>
        <a:prstGeom prst="rect">
          <a:avLst/>
        </a:prstGeom>
        <a:noFill/>
        <a:ln w="9525">
          <a:noFill/>
        </a:ln>
      </xdr:spPr>
    </xdr:pic>
    <xdr:clientData/>
  </xdr:twoCellAnchor>
  <xdr:twoCellAnchor editAs="oneCell">
    <xdr:from>
      <xdr:col>0</xdr:col>
      <xdr:colOff>0</xdr:colOff>
      <xdr:row>0</xdr:row>
      <xdr:rowOff>0</xdr:rowOff>
    </xdr:from>
    <xdr:to>
      <xdr:col>11</xdr:col>
      <xdr:colOff>361950</xdr:colOff>
      <xdr:row>14</xdr:row>
      <xdr:rowOff>123825</xdr:rowOff>
    </xdr:to>
    <xdr:pic>
      <xdr:nvPicPr>
        <xdr:cNvPr id="599" name="ID_F2F80BBEFE9A411A83EDFEB1BA4D332A"/>
        <xdr:cNvPicPr>
          <a:picLocks noChangeAspect="1"/>
        </xdr:cNvPicPr>
      </xdr:nvPicPr>
      <xdr:blipFill>
        <a:blip r:embed="rId203"/>
        <a:stretch>
          <a:fillRect/>
        </a:stretch>
      </xdr:blipFill>
      <xdr:spPr>
        <a:xfrm>
          <a:off x="13330555" y="122212735"/>
          <a:ext cx="7905750" cy="2657475"/>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17</xdr:row>
      <xdr:rowOff>9525</xdr:rowOff>
    </xdr:to>
    <xdr:pic>
      <xdr:nvPicPr>
        <xdr:cNvPr id="600" name="ID_DADEAB60C7124329949D6CC1F2459880"/>
        <xdr:cNvPicPr>
          <a:picLocks noChangeAspect="1"/>
        </xdr:cNvPicPr>
      </xdr:nvPicPr>
      <xdr:blipFill>
        <a:blip r:embed="rId204"/>
        <a:stretch>
          <a:fillRect/>
        </a:stretch>
      </xdr:blipFill>
      <xdr:spPr>
        <a:xfrm>
          <a:off x="13330555" y="83236435"/>
          <a:ext cx="6981825" cy="3086100"/>
        </a:xfrm>
        <a:prstGeom prst="rect">
          <a:avLst/>
        </a:prstGeom>
        <a:noFill/>
        <a:ln w="9525">
          <a:noFill/>
        </a:ln>
      </xdr:spPr>
    </xdr:pic>
    <xdr:clientData/>
  </xdr:twoCellAnchor>
  <xdr:twoCellAnchor editAs="oneCell">
    <xdr:from>
      <xdr:col>0</xdr:col>
      <xdr:colOff>0</xdr:colOff>
      <xdr:row>0</xdr:row>
      <xdr:rowOff>0</xdr:rowOff>
    </xdr:from>
    <xdr:to>
      <xdr:col>10</xdr:col>
      <xdr:colOff>104775</xdr:colOff>
      <xdr:row>17</xdr:row>
      <xdr:rowOff>19050</xdr:rowOff>
    </xdr:to>
    <xdr:pic>
      <xdr:nvPicPr>
        <xdr:cNvPr id="601" name="ID_9A883DB28FF14790A0E2AD70A3ABA14D"/>
        <xdr:cNvPicPr>
          <a:picLocks noChangeAspect="1"/>
        </xdr:cNvPicPr>
      </xdr:nvPicPr>
      <xdr:blipFill>
        <a:blip r:embed="rId205"/>
        <a:stretch>
          <a:fillRect/>
        </a:stretch>
      </xdr:blipFill>
      <xdr:spPr>
        <a:xfrm>
          <a:off x="13330555" y="83655535"/>
          <a:ext cx="6962775" cy="3095625"/>
        </a:xfrm>
        <a:prstGeom prst="rect">
          <a:avLst/>
        </a:prstGeom>
        <a:noFill/>
        <a:ln w="9525">
          <a:noFill/>
        </a:ln>
      </xdr:spPr>
    </xdr:pic>
    <xdr:clientData/>
  </xdr:twoCellAnchor>
  <xdr:twoCellAnchor editAs="oneCell">
    <xdr:from>
      <xdr:col>0</xdr:col>
      <xdr:colOff>0</xdr:colOff>
      <xdr:row>0</xdr:row>
      <xdr:rowOff>0</xdr:rowOff>
    </xdr:from>
    <xdr:to>
      <xdr:col>10</xdr:col>
      <xdr:colOff>114300</xdr:colOff>
      <xdr:row>16</xdr:row>
      <xdr:rowOff>104775</xdr:rowOff>
    </xdr:to>
    <xdr:pic>
      <xdr:nvPicPr>
        <xdr:cNvPr id="602" name="ID_33F5B8AF82934D73839325518EC87BDA"/>
        <xdr:cNvPicPr>
          <a:picLocks noChangeAspect="1"/>
        </xdr:cNvPicPr>
      </xdr:nvPicPr>
      <xdr:blipFill>
        <a:blip r:embed="rId206"/>
        <a:stretch>
          <a:fillRect/>
        </a:stretch>
      </xdr:blipFill>
      <xdr:spPr>
        <a:xfrm>
          <a:off x="13330555" y="84493735"/>
          <a:ext cx="6972300" cy="3000375"/>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16</xdr:row>
      <xdr:rowOff>133350</xdr:rowOff>
    </xdr:to>
    <xdr:pic>
      <xdr:nvPicPr>
        <xdr:cNvPr id="603" name="ID_3997FF3949D74912B5A5381A9E45F1B7"/>
        <xdr:cNvPicPr>
          <a:picLocks noChangeAspect="1"/>
        </xdr:cNvPicPr>
      </xdr:nvPicPr>
      <xdr:blipFill>
        <a:blip r:embed="rId207"/>
        <a:stretch>
          <a:fillRect/>
        </a:stretch>
      </xdr:blipFill>
      <xdr:spPr>
        <a:xfrm>
          <a:off x="13330555" y="85331935"/>
          <a:ext cx="7467600" cy="3028950"/>
        </a:xfrm>
        <a:prstGeom prst="rect">
          <a:avLst/>
        </a:prstGeom>
        <a:noFill/>
        <a:ln w="9525">
          <a:noFill/>
        </a:ln>
      </xdr:spPr>
    </xdr:pic>
    <xdr:clientData/>
  </xdr:twoCellAnchor>
  <xdr:twoCellAnchor editAs="oneCell">
    <xdr:from>
      <xdr:col>0</xdr:col>
      <xdr:colOff>0</xdr:colOff>
      <xdr:row>0</xdr:row>
      <xdr:rowOff>0</xdr:rowOff>
    </xdr:from>
    <xdr:to>
      <xdr:col>18</xdr:col>
      <xdr:colOff>200025</xdr:colOff>
      <xdr:row>21</xdr:row>
      <xdr:rowOff>85725</xdr:rowOff>
    </xdr:to>
    <xdr:pic>
      <xdr:nvPicPr>
        <xdr:cNvPr id="604" name="ID_9492241DAB184703AD8E0338A070B140"/>
        <xdr:cNvPicPr>
          <a:picLocks noChangeAspect="1"/>
        </xdr:cNvPicPr>
      </xdr:nvPicPr>
      <xdr:blipFill>
        <a:blip r:embed="rId208"/>
        <a:stretch>
          <a:fillRect/>
        </a:stretch>
      </xdr:blipFill>
      <xdr:spPr>
        <a:xfrm>
          <a:off x="13330555" y="113621185"/>
          <a:ext cx="12544425" cy="3886200"/>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17</xdr:row>
      <xdr:rowOff>0</xdr:rowOff>
    </xdr:to>
    <xdr:pic>
      <xdr:nvPicPr>
        <xdr:cNvPr id="605" name="ID_B6894A42D99143B39EFCF734F7165674"/>
        <xdr:cNvPicPr>
          <a:picLocks noChangeAspect="1"/>
        </xdr:cNvPicPr>
      </xdr:nvPicPr>
      <xdr:blipFill>
        <a:blip r:embed="rId209"/>
        <a:stretch>
          <a:fillRect/>
        </a:stretch>
      </xdr:blipFill>
      <xdr:spPr>
        <a:xfrm>
          <a:off x="13330555" y="86379685"/>
          <a:ext cx="7000875" cy="3076575"/>
        </a:xfrm>
        <a:prstGeom prst="rect">
          <a:avLst/>
        </a:prstGeom>
        <a:noFill/>
        <a:ln w="9525">
          <a:noFill/>
        </a:ln>
      </xdr:spPr>
    </xdr:pic>
    <xdr:clientData/>
  </xdr:twoCellAnchor>
  <xdr:twoCellAnchor editAs="oneCell">
    <xdr:from>
      <xdr:col>0</xdr:col>
      <xdr:colOff>0</xdr:colOff>
      <xdr:row>0</xdr:row>
      <xdr:rowOff>0</xdr:rowOff>
    </xdr:from>
    <xdr:to>
      <xdr:col>10</xdr:col>
      <xdr:colOff>171450</xdr:colOff>
      <xdr:row>17</xdr:row>
      <xdr:rowOff>0</xdr:rowOff>
    </xdr:to>
    <xdr:pic>
      <xdr:nvPicPr>
        <xdr:cNvPr id="606" name="ID_822AAD86014A4172A8C5DF8FDFC0A661"/>
        <xdr:cNvPicPr>
          <a:picLocks noChangeAspect="1"/>
        </xdr:cNvPicPr>
      </xdr:nvPicPr>
      <xdr:blipFill>
        <a:blip r:embed="rId210"/>
        <a:stretch>
          <a:fillRect/>
        </a:stretch>
      </xdr:blipFill>
      <xdr:spPr>
        <a:xfrm>
          <a:off x="13330555" y="87217885"/>
          <a:ext cx="7029450" cy="3076575"/>
        </a:xfrm>
        <a:prstGeom prst="rect">
          <a:avLst/>
        </a:prstGeom>
        <a:noFill/>
        <a:ln w="9525">
          <a:noFill/>
        </a:ln>
      </xdr:spPr>
    </xdr:pic>
    <xdr:clientData/>
  </xdr:twoCellAnchor>
  <xdr:twoCellAnchor editAs="oneCell">
    <xdr:from>
      <xdr:col>0</xdr:col>
      <xdr:colOff>0</xdr:colOff>
      <xdr:row>0</xdr:row>
      <xdr:rowOff>0</xdr:rowOff>
    </xdr:from>
    <xdr:to>
      <xdr:col>14</xdr:col>
      <xdr:colOff>28575</xdr:colOff>
      <xdr:row>28</xdr:row>
      <xdr:rowOff>66675</xdr:rowOff>
    </xdr:to>
    <xdr:pic>
      <xdr:nvPicPr>
        <xdr:cNvPr id="607" name="ID_E097DA6A2C9040B1859C440A9BA122D1"/>
        <xdr:cNvPicPr>
          <a:picLocks noChangeAspect="1"/>
        </xdr:cNvPicPr>
      </xdr:nvPicPr>
      <xdr:blipFill>
        <a:blip r:embed="rId211"/>
        <a:stretch>
          <a:fillRect/>
        </a:stretch>
      </xdr:blipFill>
      <xdr:spPr>
        <a:xfrm>
          <a:off x="13330555" y="126403735"/>
          <a:ext cx="9629775" cy="5133975"/>
        </a:xfrm>
        <a:prstGeom prst="rect">
          <a:avLst/>
        </a:prstGeom>
        <a:noFill/>
        <a:ln w="9525">
          <a:noFill/>
        </a:ln>
      </xdr:spPr>
    </xdr:pic>
    <xdr:clientData/>
  </xdr:twoCellAnchor>
  <xdr:twoCellAnchor editAs="oneCell">
    <xdr:from>
      <xdr:col>0</xdr:col>
      <xdr:colOff>0</xdr:colOff>
      <xdr:row>0</xdr:row>
      <xdr:rowOff>0</xdr:rowOff>
    </xdr:from>
    <xdr:to>
      <xdr:col>17</xdr:col>
      <xdr:colOff>238125</xdr:colOff>
      <xdr:row>17</xdr:row>
      <xdr:rowOff>95250</xdr:rowOff>
    </xdr:to>
    <xdr:pic>
      <xdr:nvPicPr>
        <xdr:cNvPr id="608" name="ID_2E199A8D377749B2BFD99E3D801CA50F"/>
        <xdr:cNvPicPr>
          <a:picLocks noChangeAspect="1"/>
        </xdr:cNvPicPr>
      </xdr:nvPicPr>
      <xdr:blipFill>
        <a:blip r:embed="rId212"/>
        <a:stretch>
          <a:fillRect/>
        </a:stretch>
      </xdr:blipFill>
      <xdr:spPr>
        <a:xfrm>
          <a:off x="13330555" y="116764435"/>
          <a:ext cx="11896725" cy="3171825"/>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171450</xdr:rowOff>
    </xdr:to>
    <xdr:pic>
      <xdr:nvPicPr>
        <xdr:cNvPr id="609" name="ID_0ECB4EA1124540BEAA96FA796AEEF6AA"/>
        <xdr:cNvPicPr>
          <a:picLocks noChangeAspect="1"/>
        </xdr:cNvPicPr>
      </xdr:nvPicPr>
      <xdr:blipFill>
        <a:blip r:embed="rId213"/>
        <a:stretch>
          <a:fillRect/>
        </a:stretch>
      </xdr:blipFill>
      <xdr:spPr>
        <a:xfrm>
          <a:off x="13330555" y="105239185"/>
          <a:ext cx="7934325" cy="3067050"/>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17</xdr:row>
      <xdr:rowOff>19050</xdr:rowOff>
    </xdr:to>
    <xdr:pic>
      <xdr:nvPicPr>
        <xdr:cNvPr id="610" name="ID_825DAAC5BC174752851C0ADAB88A90A2"/>
        <xdr:cNvPicPr>
          <a:picLocks noChangeAspect="1"/>
        </xdr:cNvPicPr>
      </xdr:nvPicPr>
      <xdr:blipFill>
        <a:blip r:embed="rId214"/>
        <a:stretch>
          <a:fillRect/>
        </a:stretch>
      </xdr:blipFill>
      <xdr:spPr>
        <a:xfrm>
          <a:off x="13330555" y="87636985"/>
          <a:ext cx="7000875" cy="3095625"/>
        </a:xfrm>
        <a:prstGeom prst="rect">
          <a:avLst/>
        </a:prstGeom>
        <a:noFill/>
        <a:ln w="9525">
          <a:noFill/>
        </a:ln>
      </xdr:spPr>
    </xdr:pic>
    <xdr:clientData/>
  </xdr:twoCellAnchor>
  <xdr:twoCellAnchor editAs="oneCell">
    <xdr:from>
      <xdr:col>0</xdr:col>
      <xdr:colOff>0</xdr:colOff>
      <xdr:row>0</xdr:row>
      <xdr:rowOff>0</xdr:rowOff>
    </xdr:from>
    <xdr:to>
      <xdr:col>15</xdr:col>
      <xdr:colOff>676275</xdr:colOff>
      <xdr:row>18</xdr:row>
      <xdr:rowOff>171450</xdr:rowOff>
    </xdr:to>
    <xdr:pic>
      <xdr:nvPicPr>
        <xdr:cNvPr id="611" name="ID_2DF34C851CA044CCA9AFB08E233B570A"/>
        <xdr:cNvPicPr>
          <a:picLocks noChangeAspect="1"/>
        </xdr:cNvPicPr>
      </xdr:nvPicPr>
      <xdr:blipFill>
        <a:blip r:embed="rId215"/>
        <a:stretch>
          <a:fillRect/>
        </a:stretch>
      </xdr:blipFill>
      <xdr:spPr>
        <a:xfrm>
          <a:off x="13330555" y="117183535"/>
          <a:ext cx="10963275" cy="3429000"/>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16</xdr:row>
      <xdr:rowOff>123825</xdr:rowOff>
    </xdr:to>
    <xdr:pic>
      <xdr:nvPicPr>
        <xdr:cNvPr id="612" name="ID_36D78F6E45BF49E9A082040D66BB5272"/>
        <xdr:cNvPicPr>
          <a:picLocks noChangeAspect="1"/>
        </xdr:cNvPicPr>
      </xdr:nvPicPr>
      <xdr:blipFill>
        <a:blip r:embed="rId216"/>
        <a:stretch>
          <a:fillRect/>
        </a:stretch>
      </xdr:blipFill>
      <xdr:spPr>
        <a:xfrm>
          <a:off x="13330555" y="88056085"/>
          <a:ext cx="7000875" cy="3019425"/>
        </a:xfrm>
        <a:prstGeom prst="rect">
          <a:avLst/>
        </a:prstGeom>
        <a:noFill/>
        <a:ln w="9525">
          <a:noFill/>
        </a:ln>
      </xdr:spPr>
    </xdr:pic>
    <xdr:clientData/>
  </xdr:twoCellAnchor>
  <xdr:twoCellAnchor editAs="oneCell">
    <xdr:from>
      <xdr:col>0</xdr:col>
      <xdr:colOff>0</xdr:colOff>
      <xdr:row>0</xdr:row>
      <xdr:rowOff>0</xdr:rowOff>
    </xdr:from>
    <xdr:to>
      <xdr:col>15</xdr:col>
      <xdr:colOff>504825</xdr:colOff>
      <xdr:row>28</xdr:row>
      <xdr:rowOff>57150</xdr:rowOff>
    </xdr:to>
    <xdr:pic>
      <xdr:nvPicPr>
        <xdr:cNvPr id="613" name="ID_D92B05CE03004344A628C905468B1EDA"/>
        <xdr:cNvPicPr>
          <a:picLocks noChangeAspect="1"/>
        </xdr:cNvPicPr>
      </xdr:nvPicPr>
      <xdr:blipFill>
        <a:blip r:embed="rId217"/>
        <a:stretch>
          <a:fillRect/>
        </a:stretch>
      </xdr:blipFill>
      <xdr:spPr>
        <a:xfrm>
          <a:off x="13330555" y="88894285"/>
          <a:ext cx="10791825" cy="5124450"/>
        </a:xfrm>
        <a:prstGeom prst="rect">
          <a:avLst/>
        </a:prstGeom>
        <a:noFill/>
        <a:ln w="9525">
          <a:noFill/>
        </a:ln>
      </xdr:spPr>
    </xdr:pic>
    <xdr:clientData/>
  </xdr:twoCellAnchor>
  <xdr:twoCellAnchor editAs="oneCell">
    <xdr:from>
      <xdr:col>0</xdr:col>
      <xdr:colOff>0</xdr:colOff>
      <xdr:row>0</xdr:row>
      <xdr:rowOff>0</xdr:rowOff>
    </xdr:from>
    <xdr:to>
      <xdr:col>10</xdr:col>
      <xdr:colOff>114300</xdr:colOff>
      <xdr:row>16</xdr:row>
      <xdr:rowOff>142875</xdr:rowOff>
    </xdr:to>
    <xdr:pic>
      <xdr:nvPicPr>
        <xdr:cNvPr id="614" name="ID_24618E05017148728D80D657CB13C9EF"/>
        <xdr:cNvPicPr>
          <a:picLocks noChangeAspect="1"/>
        </xdr:cNvPicPr>
      </xdr:nvPicPr>
      <xdr:blipFill>
        <a:blip r:embed="rId218"/>
        <a:stretch>
          <a:fillRect/>
        </a:stretch>
      </xdr:blipFill>
      <xdr:spPr>
        <a:xfrm>
          <a:off x="13330555" y="89732485"/>
          <a:ext cx="6972300" cy="3038475"/>
        </a:xfrm>
        <a:prstGeom prst="rect">
          <a:avLst/>
        </a:prstGeom>
        <a:noFill/>
        <a:ln w="9525">
          <a:noFill/>
        </a:ln>
      </xdr:spPr>
    </xdr:pic>
    <xdr:clientData/>
  </xdr:twoCellAnchor>
  <xdr:twoCellAnchor editAs="oneCell">
    <xdr:from>
      <xdr:col>0</xdr:col>
      <xdr:colOff>0</xdr:colOff>
      <xdr:row>0</xdr:row>
      <xdr:rowOff>0</xdr:rowOff>
    </xdr:from>
    <xdr:to>
      <xdr:col>15</xdr:col>
      <xdr:colOff>219075</xdr:colOff>
      <xdr:row>15</xdr:row>
      <xdr:rowOff>123825</xdr:rowOff>
    </xdr:to>
    <xdr:pic>
      <xdr:nvPicPr>
        <xdr:cNvPr id="615" name="ID_AD707ED4953344FD8C1FE3D2806D4ACE"/>
        <xdr:cNvPicPr>
          <a:picLocks noChangeAspect="1"/>
        </xdr:cNvPicPr>
      </xdr:nvPicPr>
      <xdr:blipFill>
        <a:blip r:embed="rId219"/>
        <a:stretch>
          <a:fillRect/>
        </a:stretch>
      </xdr:blipFill>
      <xdr:spPr>
        <a:xfrm>
          <a:off x="13330555" y="98324035"/>
          <a:ext cx="10506075" cy="2838450"/>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16</xdr:row>
      <xdr:rowOff>161925</xdr:rowOff>
    </xdr:to>
    <xdr:pic>
      <xdr:nvPicPr>
        <xdr:cNvPr id="616" name="ID_62454594E2F84F0FA6699D9D3BFD9F2D"/>
        <xdr:cNvPicPr>
          <a:picLocks noChangeAspect="1"/>
        </xdr:cNvPicPr>
      </xdr:nvPicPr>
      <xdr:blipFill>
        <a:blip r:embed="rId220"/>
        <a:stretch>
          <a:fillRect/>
        </a:stretch>
      </xdr:blipFill>
      <xdr:spPr>
        <a:xfrm>
          <a:off x="13330555" y="98743135"/>
          <a:ext cx="7458075" cy="3057525"/>
        </a:xfrm>
        <a:prstGeom prst="rect">
          <a:avLst/>
        </a:prstGeom>
        <a:noFill/>
        <a:ln w="9525">
          <a:noFill/>
        </a:ln>
      </xdr:spPr>
    </xdr:pic>
    <xdr:clientData/>
  </xdr:twoCellAnchor>
  <xdr:twoCellAnchor editAs="oneCell">
    <xdr:from>
      <xdr:col>0</xdr:col>
      <xdr:colOff>0</xdr:colOff>
      <xdr:row>0</xdr:row>
      <xdr:rowOff>0</xdr:rowOff>
    </xdr:from>
    <xdr:to>
      <xdr:col>11</xdr:col>
      <xdr:colOff>371475</xdr:colOff>
      <xdr:row>19</xdr:row>
      <xdr:rowOff>19050</xdr:rowOff>
    </xdr:to>
    <xdr:pic>
      <xdr:nvPicPr>
        <xdr:cNvPr id="617" name="ID_F36ECCD3902F4CF2A6A588F8D98A5B94"/>
        <xdr:cNvPicPr>
          <a:picLocks noChangeAspect="1"/>
        </xdr:cNvPicPr>
      </xdr:nvPicPr>
      <xdr:blipFill>
        <a:blip r:embed="rId221"/>
        <a:stretch>
          <a:fillRect/>
        </a:stretch>
      </xdr:blipFill>
      <xdr:spPr>
        <a:xfrm>
          <a:off x="13330555" y="99162235"/>
          <a:ext cx="7915275" cy="3457575"/>
        </a:xfrm>
        <a:prstGeom prst="rect">
          <a:avLst/>
        </a:prstGeom>
        <a:noFill/>
        <a:ln w="9525">
          <a:noFill/>
        </a:ln>
      </xdr:spPr>
    </xdr:pic>
    <xdr:clientData/>
  </xdr:twoCellAnchor>
  <xdr:twoCellAnchor editAs="oneCell">
    <xdr:from>
      <xdr:col>0</xdr:col>
      <xdr:colOff>0</xdr:colOff>
      <xdr:row>0</xdr:row>
      <xdr:rowOff>0</xdr:rowOff>
    </xdr:from>
    <xdr:to>
      <xdr:col>10</xdr:col>
      <xdr:colOff>676275</xdr:colOff>
      <xdr:row>16</xdr:row>
      <xdr:rowOff>161925</xdr:rowOff>
    </xdr:to>
    <xdr:pic>
      <xdr:nvPicPr>
        <xdr:cNvPr id="618" name="ID_6C26C81057F94F298D59C286153C472F"/>
        <xdr:cNvPicPr>
          <a:picLocks noChangeAspect="1"/>
        </xdr:cNvPicPr>
      </xdr:nvPicPr>
      <xdr:blipFill>
        <a:blip r:embed="rId222"/>
        <a:stretch>
          <a:fillRect/>
        </a:stretch>
      </xdr:blipFill>
      <xdr:spPr>
        <a:xfrm>
          <a:off x="13330555" y="99581335"/>
          <a:ext cx="7534275" cy="3057525"/>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17</xdr:row>
      <xdr:rowOff>57150</xdr:rowOff>
    </xdr:to>
    <xdr:pic>
      <xdr:nvPicPr>
        <xdr:cNvPr id="619" name="ID_AFC2651A0D8146E49256FC898809CAA2"/>
        <xdr:cNvPicPr>
          <a:picLocks noChangeAspect="1"/>
        </xdr:cNvPicPr>
      </xdr:nvPicPr>
      <xdr:blipFill>
        <a:blip r:embed="rId223"/>
        <a:stretch>
          <a:fillRect/>
        </a:stretch>
      </xdr:blipFill>
      <xdr:spPr>
        <a:xfrm>
          <a:off x="13330555" y="100419535"/>
          <a:ext cx="7467600" cy="3133725"/>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17</xdr:row>
      <xdr:rowOff>9525</xdr:rowOff>
    </xdr:to>
    <xdr:pic>
      <xdr:nvPicPr>
        <xdr:cNvPr id="620" name="ID_1A3E1E2FE872474F88D461F7B9A18D69"/>
        <xdr:cNvPicPr>
          <a:picLocks noChangeAspect="1"/>
        </xdr:cNvPicPr>
      </xdr:nvPicPr>
      <xdr:blipFill>
        <a:blip r:embed="rId224"/>
        <a:stretch>
          <a:fillRect/>
        </a:stretch>
      </xdr:blipFill>
      <xdr:spPr>
        <a:xfrm>
          <a:off x="13330555" y="110687485"/>
          <a:ext cx="7486650" cy="3086100"/>
        </a:xfrm>
        <a:prstGeom prst="rect">
          <a:avLst/>
        </a:prstGeom>
        <a:noFill/>
        <a:ln w="9525">
          <a:noFill/>
        </a:ln>
      </xdr:spPr>
    </xdr:pic>
    <xdr:clientData/>
  </xdr:twoCellAnchor>
  <xdr:twoCellAnchor editAs="oneCell">
    <xdr:from>
      <xdr:col>0</xdr:col>
      <xdr:colOff>0</xdr:colOff>
      <xdr:row>0</xdr:row>
      <xdr:rowOff>0</xdr:rowOff>
    </xdr:from>
    <xdr:to>
      <xdr:col>15</xdr:col>
      <xdr:colOff>390525</xdr:colOff>
      <xdr:row>30</xdr:row>
      <xdr:rowOff>142875</xdr:rowOff>
    </xdr:to>
    <xdr:pic>
      <xdr:nvPicPr>
        <xdr:cNvPr id="621" name="ID_734A41928A8C4D0EA398F799A4D12E98"/>
        <xdr:cNvPicPr>
          <a:picLocks noChangeAspect="1"/>
        </xdr:cNvPicPr>
      </xdr:nvPicPr>
      <xdr:blipFill>
        <a:blip r:embed="rId225"/>
        <a:stretch>
          <a:fillRect/>
        </a:stretch>
      </xdr:blipFill>
      <xdr:spPr>
        <a:xfrm>
          <a:off x="13330555" y="101048185"/>
          <a:ext cx="10677525" cy="5572125"/>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95250</xdr:rowOff>
    </xdr:to>
    <xdr:pic>
      <xdr:nvPicPr>
        <xdr:cNvPr id="622" name="ID_FD11656EB43942FE80B58447305FDB45"/>
        <xdr:cNvPicPr>
          <a:picLocks noChangeAspect="1"/>
        </xdr:cNvPicPr>
      </xdr:nvPicPr>
      <xdr:blipFill>
        <a:blip r:embed="rId226"/>
        <a:stretch>
          <a:fillRect/>
        </a:stretch>
      </xdr:blipFill>
      <xdr:spPr>
        <a:xfrm>
          <a:off x="13330555" y="102305485"/>
          <a:ext cx="7934325" cy="2990850"/>
        </a:xfrm>
        <a:prstGeom prst="rect">
          <a:avLst/>
        </a:prstGeom>
        <a:noFill/>
        <a:ln w="9525">
          <a:noFill/>
        </a:ln>
      </xdr:spPr>
    </xdr:pic>
    <xdr:clientData/>
  </xdr:twoCellAnchor>
  <xdr:twoCellAnchor editAs="oneCell">
    <xdr:from>
      <xdr:col>0</xdr:col>
      <xdr:colOff>0</xdr:colOff>
      <xdr:row>0</xdr:row>
      <xdr:rowOff>0</xdr:rowOff>
    </xdr:from>
    <xdr:to>
      <xdr:col>12</xdr:col>
      <xdr:colOff>142875</xdr:colOff>
      <xdr:row>28</xdr:row>
      <xdr:rowOff>38100</xdr:rowOff>
    </xdr:to>
    <xdr:pic>
      <xdr:nvPicPr>
        <xdr:cNvPr id="623" name="ID_91E391C4EE9C41FA888323D42C464C71"/>
        <xdr:cNvPicPr>
          <a:picLocks noChangeAspect="1"/>
        </xdr:cNvPicPr>
      </xdr:nvPicPr>
      <xdr:blipFill>
        <a:blip r:embed="rId227"/>
        <a:stretch>
          <a:fillRect/>
        </a:stretch>
      </xdr:blipFill>
      <xdr:spPr>
        <a:xfrm>
          <a:off x="13330555" y="112363885"/>
          <a:ext cx="8372475" cy="5105400"/>
        </a:xfrm>
        <a:prstGeom prst="rect">
          <a:avLst/>
        </a:prstGeom>
        <a:noFill/>
        <a:ln w="9525">
          <a:noFill/>
        </a:ln>
      </xdr:spPr>
    </xdr:pic>
    <xdr:clientData/>
  </xdr:twoCellAnchor>
  <xdr:twoCellAnchor editAs="oneCell">
    <xdr:from>
      <xdr:col>0</xdr:col>
      <xdr:colOff>0</xdr:colOff>
      <xdr:row>0</xdr:row>
      <xdr:rowOff>0</xdr:rowOff>
    </xdr:from>
    <xdr:to>
      <xdr:col>11</xdr:col>
      <xdr:colOff>371475</xdr:colOff>
      <xdr:row>16</xdr:row>
      <xdr:rowOff>133350</xdr:rowOff>
    </xdr:to>
    <xdr:pic>
      <xdr:nvPicPr>
        <xdr:cNvPr id="624" name="ID_DE704E87FAC343EC812EAD772116C50E"/>
        <xdr:cNvPicPr>
          <a:picLocks noChangeAspect="1"/>
        </xdr:cNvPicPr>
      </xdr:nvPicPr>
      <xdr:blipFill>
        <a:blip r:embed="rId228"/>
        <a:stretch>
          <a:fillRect/>
        </a:stretch>
      </xdr:blipFill>
      <xdr:spPr>
        <a:xfrm>
          <a:off x="13330555" y="102724585"/>
          <a:ext cx="7915275" cy="3028950"/>
        </a:xfrm>
        <a:prstGeom prst="rect">
          <a:avLst/>
        </a:prstGeom>
        <a:noFill/>
        <a:ln w="9525">
          <a:noFill/>
        </a:ln>
      </xdr:spPr>
    </xdr:pic>
    <xdr:clientData/>
  </xdr:twoCellAnchor>
  <xdr:twoCellAnchor editAs="oneCell">
    <xdr:from>
      <xdr:col>0</xdr:col>
      <xdr:colOff>0</xdr:colOff>
      <xdr:row>0</xdr:row>
      <xdr:rowOff>0</xdr:rowOff>
    </xdr:from>
    <xdr:to>
      <xdr:col>10</xdr:col>
      <xdr:colOff>171450</xdr:colOff>
      <xdr:row>16</xdr:row>
      <xdr:rowOff>171450</xdr:rowOff>
    </xdr:to>
    <xdr:pic>
      <xdr:nvPicPr>
        <xdr:cNvPr id="625" name="ID_032334DE04F2499BB5EE6D67880FCE3A"/>
        <xdr:cNvPicPr>
          <a:picLocks noChangeAspect="1"/>
        </xdr:cNvPicPr>
      </xdr:nvPicPr>
      <xdr:blipFill>
        <a:blip r:embed="rId229"/>
        <a:stretch>
          <a:fillRect/>
        </a:stretch>
      </xdr:blipFill>
      <xdr:spPr>
        <a:xfrm>
          <a:off x="13330555" y="113202085"/>
          <a:ext cx="7029450" cy="3067050"/>
        </a:xfrm>
        <a:prstGeom prst="rect">
          <a:avLst/>
        </a:prstGeom>
        <a:noFill/>
        <a:ln w="9525">
          <a:noFill/>
        </a:ln>
      </xdr:spPr>
    </xdr:pic>
    <xdr:clientData/>
  </xdr:twoCellAnchor>
  <xdr:twoCellAnchor editAs="oneCell">
    <xdr:from>
      <xdr:col>0</xdr:col>
      <xdr:colOff>0</xdr:colOff>
      <xdr:row>0</xdr:row>
      <xdr:rowOff>0</xdr:rowOff>
    </xdr:from>
    <xdr:to>
      <xdr:col>11</xdr:col>
      <xdr:colOff>476250</xdr:colOff>
      <xdr:row>16</xdr:row>
      <xdr:rowOff>161925</xdr:rowOff>
    </xdr:to>
    <xdr:pic>
      <xdr:nvPicPr>
        <xdr:cNvPr id="626" name="ID_4FB0475F8FC04C69A794EF43134F1AE5"/>
        <xdr:cNvPicPr>
          <a:picLocks noChangeAspect="1"/>
        </xdr:cNvPicPr>
      </xdr:nvPicPr>
      <xdr:blipFill>
        <a:blip r:embed="rId230"/>
        <a:stretch>
          <a:fillRect/>
        </a:stretch>
      </xdr:blipFill>
      <xdr:spPr>
        <a:xfrm>
          <a:off x="13330555" y="103562785"/>
          <a:ext cx="8020050" cy="3057525"/>
        </a:xfrm>
        <a:prstGeom prst="rect">
          <a:avLst/>
        </a:prstGeom>
        <a:noFill/>
        <a:ln w="9525">
          <a:noFill/>
        </a:ln>
      </xdr:spPr>
    </xdr:pic>
    <xdr:clientData/>
  </xdr:twoCellAnchor>
  <xdr:twoCellAnchor editAs="oneCell">
    <xdr:from>
      <xdr:col>0</xdr:col>
      <xdr:colOff>0</xdr:colOff>
      <xdr:row>0</xdr:row>
      <xdr:rowOff>0</xdr:rowOff>
    </xdr:from>
    <xdr:to>
      <xdr:col>11</xdr:col>
      <xdr:colOff>447675</xdr:colOff>
      <xdr:row>16</xdr:row>
      <xdr:rowOff>152400</xdr:rowOff>
    </xdr:to>
    <xdr:pic>
      <xdr:nvPicPr>
        <xdr:cNvPr id="627" name="ID_49A9043EA27E41E9BDB3024B42B9E5FE"/>
        <xdr:cNvPicPr>
          <a:picLocks noChangeAspect="1"/>
        </xdr:cNvPicPr>
      </xdr:nvPicPr>
      <xdr:blipFill>
        <a:blip r:embed="rId231"/>
        <a:stretch>
          <a:fillRect/>
        </a:stretch>
      </xdr:blipFill>
      <xdr:spPr>
        <a:xfrm>
          <a:off x="13330555" y="103981885"/>
          <a:ext cx="7991475" cy="3048000"/>
        </a:xfrm>
        <a:prstGeom prst="rect">
          <a:avLst/>
        </a:prstGeom>
        <a:noFill/>
        <a:ln w="9525">
          <a:noFill/>
        </a:ln>
      </xdr:spPr>
    </xdr:pic>
    <xdr:clientData/>
  </xdr:twoCellAnchor>
  <xdr:twoCellAnchor editAs="oneCell">
    <xdr:from>
      <xdr:col>0</xdr:col>
      <xdr:colOff>0</xdr:colOff>
      <xdr:row>0</xdr:row>
      <xdr:rowOff>0</xdr:rowOff>
    </xdr:from>
    <xdr:to>
      <xdr:col>11</xdr:col>
      <xdr:colOff>371475</xdr:colOff>
      <xdr:row>16</xdr:row>
      <xdr:rowOff>171450</xdr:rowOff>
    </xdr:to>
    <xdr:pic>
      <xdr:nvPicPr>
        <xdr:cNvPr id="628" name="ID_FC1BCEFFBC5F42BF97456ECC51E94F7B"/>
        <xdr:cNvPicPr>
          <a:picLocks noChangeAspect="1"/>
        </xdr:cNvPicPr>
      </xdr:nvPicPr>
      <xdr:blipFill>
        <a:blip r:embed="rId232"/>
        <a:stretch>
          <a:fillRect/>
        </a:stretch>
      </xdr:blipFill>
      <xdr:spPr>
        <a:xfrm>
          <a:off x="13330555" y="125984635"/>
          <a:ext cx="7915275" cy="3067050"/>
        </a:xfrm>
        <a:prstGeom prst="rect">
          <a:avLst/>
        </a:prstGeom>
        <a:noFill/>
        <a:ln w="9525">
          <a:noFill/>
        </a:ln>
      </xdr:spPr>
    </xdr:pic>
    <xdr:clientData/>
  </xdr:twoCellAnchor>
  <xdr:twoCellAnchor editAs="oneCell">
    <xdr:from>
      <xdr:col>0</xdr:col>
      <xdr:colOff>0</xdr:colOff>
      <xdr:row>0</xdr:row>
      <xdr:rowOff>0</xdr:rowOff>
    </xdr:from>
    <xdr:to>
      <xdr:col>11</xdr:col>
      <xdr:colOff>514350</xdr:colOff>
      <xdr:row>17</xdr:row>
      <xdr:rowOff>0</xdr:rowOff>
    </xdr:to>
    <xdr:pic>
      <xdr:nvPicPr>
        <xdr:cNvPr id="629" name="ID_7AD714BF3BEA42D89D3926FAF28CEEE7"/>
        <xdr:cNvPicPr>
          <a:picLocks noChangeAspect="1"/>
        </xdr:cNvPicPr>
      </xdr:nvPicPr>
      <xdr:blipFill>
        <a:blip r:embed="rId233"/>
        <a:stretch>
          <a:fillRect/>
        </a:stretch>
      </xdr:blipFill>
      <xdr:spPr>
        <a:xfrm>
          <a:off x="13330555" y="104820085"/>
          <a:ext cx="8058150" cy="3076575"/>
        </a:xfrm>
        <a:prstGeom prst="rect">
          <a:avLst/>
        </a:prstGeom>
        <a:noFill/>
        <a:ln w="9525">
          <a:noFill/>
        </a:ln>
      </xdr:spPr>
    </xdr:pic>
    <xdr:clientData/>
  </xdr:twoCellAnchor>
  <xdr:twoCellAnchor editAs="oneCell">
    <xdr:from>
      <xdr:col>0</xdr:col>
      <xdr:colOff>0</xdr:colOff>
      <xdr:row>0</xdr:row>
      <xdr:rowOff>0</xdr:rowOff>
    </xdr:from>
    <xdr:to>
      <xdr:col>11</xdr:col>
      <xdr:colOff>428625</xdr:colOff>
      <xdr:row>16</xdr:row>
      <xdr:rowOff>171450</xdr:rowOff>
    </xdr:to>
    <xdr:pic>
      <xdr:nvPicPr>
        <xdr:cNvPr id="630" name="ID_BBA9BE94E1574BD99646EC44F68ADCB1"/>
        <xdr:cNvPicPr>
          <a:picLocks noChangeAspect="1"/>
        </xdr:cNvPicPr>
      </xdr:nvPicPr>
      <xdr:blipFill>
        <a:blip r:embed="rId234"/>
        <a:stretch>
          <a:fillRect/>
        </a:stretch>
      </xdr:blipFill>
      <xdr:spPr>
        <a:xfrm>
          <a:off x="13330555" y="105658285"/>
          <a:ext cx="7972425" cy="3067050"/>
        </a:xfrm>
        <a:prstGeom prst="rect">
          <a:avLst/>
        </a:prstGeom>
        <a:noFill/>
        <a:ln w="9525">
          <a:noFill/>
        </a:ln>
      </xdr:spPr>
    </xdr:pic>
    <xdr:clientData/>
  </xdr:twoCellAnchor>
  <xdr:twoCellAnchor editAs="oneCell">
    <xdr:from>
      <xdr:col>0</xdr:col>
      <xdr:colOff>0</xdr:colOff>
      <xdr:row>0</xdr:row>
      <xdr:rowOff>0</xdr:rowOff>
    </xdr:from>
    <xdr:to>
      <xdr:col>11</xdr:col>
      <xdr:colOff>457200</xdr:colOff>
      <xdr:row>16</xdr:row>
      <xdr:rowOff>152400</xdr:rowOff>
    </xdr:to>
    <xdr:pic>
      <xdr:nvPicPr>
        <xdr:cNvPr id="631" name="ID_EA81B9BA509C44F7BFB8BDF03585BF93"/>
        <xdr:cNvPicPr>
          <a:picLocks noChangeAspect="1"/>
        </xdr:cNvPicPr>
      </xdr:nvPicPr>
      <xdr:blipFill>
        <a:blip r:embed="rId235"/>
        <a:stretch>
          <a:fillRect/>
        </a:stretch>
      </xdr:blipFill>
      <xdr:spPr>
        <a:xfrm>
          <a:off x="13330555" y="106077385"/>
          <a:ext cx="8001000" cy="3048000"/>
        </a:xfrm>
        <a:prstGeom prst="rect">
          <a:avLst/>
        </a:prstGeom>
        <a:noFill/>
        <a:ln w="9525">
          <a:noFill/>
        </a:ln>
      </xdr:spPr>
    </xdr:pic>
    <xdr:clientData/>
  </xdr:twoCellAnchor>
  <xdr:twoCellAnchor editAs="oneCell">
    <xdr:from>
      <xdr:col>0</xdr:col>
      <xdr:colOff>0</xdr:colOff>
      <xdr:row>0</xdr:row>
      <xdr:rowOff>0</xdr:rowOff>
    </xdr:from>
    <xdr:to>
      <xdr:col>11</xdr:col>
      <xdr:colOff>466725</xdr:colOff>
      <xdr:row>16</xdr:row>
      <xdr:rowOff>114300</xdr:rowOff>
    </xdr:to>
    <xdr:pic>
      <xdr:nvPicPr>
        <xdr:cNvPr id="632" name="ID_3075FF6127B74A4587596258E08E884B"/>
        <xdr:cNvPicPr>
          <a:picLocks noChangeAspect="1"/>
        </xdr:cNvPicPr>
      </xdr:nvPicPr>
      <xdr:blipFill>
        <a:blip r:embed="rId236"/>
        <a:stretch>
          <a:fillRect/>
        </a:stretch>
      </xdr:blipFill>
      <xdr:spPr>
        <a:xfrm>
          <a:off x="13330555" y="106496485"/>
          <a:ext cx="8010525" cy="3009900"/>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16</xdr:row>
      <xdr:rowOff>133350</xdr:rowOff>
    </xdr:to>
    <xdr:pic>
      <xdr:nvPicPr>
        <xdr:cNvPr id="633" name="ID_A004AECE6CFE469CA3166DFE9C88B772"/>
        <xdr:cNvPicPr>
          <a:picLocks noChangeAspect="1"/>
        </xdr:cNvPicPr>
      </xdr:nvPicPr>
      <xdr:blipFill>
        <a:blip r:embed="rId237"/>
        <a:stretch>
          <a:fillRect/>
        </a:stretch>
      </xdr:blipFill>
      <xdr:spPr>
        <a:xfrm>
          <a:off x="13330555" y="107334685"/>
          <a:ext cx="7458075" cy="3028950"/>
        </a:xfrm>
        <a:prstGeom prst="rect">
          <a:avLst/>
        </a:prstGeom>
        <a:noFill/>
        <a:ln w="9525">
          <a:noFill/>
        </a:ln>
      </xdr:spPr>
    </xdr:pic>
    <xdr:clientData/>
  </xdr:twoCellAnchor>
  <xdr:twoCellAnchor editAs="oneCell">
    <xdr:from>
      <xdr:col>0</xdr:col>
      <xdr:colOff>0</xdr:colOff>
      <xdr:row>0</xdr:row>
      <xdr:rowOff>0</xdr:rowOff>
    </xdr:from>
    <xdr:to>
      <xdr:col>10</xdr:col>
      <xdr:colOff>533400</xdr:colOff>
      <xdr:row>16</xdr:row>
      <xdr:rowOff>161925</xdr:rowOff>
    </xdr:to>
    <xdr:pic>
      <xdr:nvPicPr>
        <xdr:cNvPr id="634" name="ID_1B38D2BA7320440D9E50906C20F989AB"/>
        <xdr:cNvPicPr>
          <a:picLocks noChangeAspect="1"/>
        </xdr:cNvPicPr>
      </xdr:nvPicPr>
      <xdr:blipFill>
        <a:blip r:embed="rId238"/>
        <a:stretch>
          <a:fillRect/>
        </a:stretch>
      </xdr:blipFill>
      <xdr:spPr>
        <a:xfrm>
          <a:off x="13846810" y="119298085"/>
          <a:ext cx="7391400" cy="3057525"/>
        </a:xfrm>
        <a:prstGeom prst="rect">
          <a:avLst/>
        </a:prstGeom>
        <a:noFill/>
        <a:ln w="9525">
          <a:noFill/>
        </a:ln>
      </xdr:spPr>
    </xdr:pic>
    <xdr:clientData/>
  </xdr:twoCellAnchor>
  <xdr:twoCellAnchor editAs="oneCell">
    <xdr:from>
      <xdr:col>0</xdr:col>
      <xdr:colOff>0</xdr:colOff>
      <xdr:row>0</xdr:row>
      <xdr:rowOff>0</xdr:rowOff>
    </xdr:from>
    <xdr:to>
      <xdr:col>18</xdr:col>
      <xdr:colOff>409575</xdr:colOff>
      <xdr:row>29</xdr:row>
      <xdr:rowOff>123825</xdr:rowOff>
    </xdr:to>
    <xdr:pic>
      <xdr:nvPicPr>
        <xdr:cNvPr id="635" name="ID_A43887F8774C478C8372E71C492A4114"/>
        <xdr:cNvPicPr>
          <a:picLocks noChangeAspect="1"/>
        </xdr:cNvPicPr>
      </xdr:nvPicPr>
      <xdr:blipFill>
        <a:blip r:embed="rId239"/>
        <a:stretch>
          <a:fillRect/>
        </a:stretch>
      </xdr:blipFill>
      <xdr:spPr>
        <a:xfrm>
          <a:off x="13330555" y="107753785"/>
          <a:ext cx="12753975" cy="5372100"/>
        </a:xfrm>
        <a:prstGeom prst="rect">
          <a:avLst/>
        </a:prstGeom>
        <a:noFill/>
        <a:ln w="9525">
          <a:noFill/>
        </a:ln>
      </xdr:spPr>
    </xdr:pic>
    <xdr:clientData/>
  </xdr:twoCellAnchor>
  <xdr:twoCellAnchor editAs="oneCell">
    <xdr:from>
      <xdr:col>0</xdr:col>
      <xdr:colOff>0</xdr:colOff>
      <xdr:row>0</xdr:row>
      <xdr:rowOff>0</xdr:rowOff>
    </xdr:from>
    <xdr:to>
      <xdr:col>15</xdr:col>
      <xdr:colOff>104775</xdr:colOff>
      <xdr:row>33</xdr:row>
      <xdr:rowOff>142875</xdr:rowOff>
    </xdr:to>
    <xdr:pic>
      <xdr:nvPicPr>
        <xdr:cNvPr id="636" name="ID_7C112FE1858B480D973EEB03B5D9B15D"/>
        <xdr:cNvPicPr>
          <a:picLocks noChangeAspect="1"/>
        </xdr:cNvPicPr>
      </xdr:nvPicPr>
      <xdr:blipFill>
        <a:blip r:embed="rId240"/>
        <a:stretch>
          <a:fillRect/>
        </a:stretch>
      </xdr:blipFill>
      <xdr:spPr>
        <a:xfrm>
          <a:off x="13330555" y="109011085"/>
          <a:ext cx="10391775" cy="6115050"/>
        </a:xfrm>
        <a:prstGeom prst="rect">
          <a:avLst/>
        </a:prstGeom>
        <a:noFill/>
        <a:ln w="9525">
          <a:noFill/>
        </a:ln>
      </xdr:spPr>
    </xdr:pic>
    <xdr:clientData/>
  </xdr:twoCellAnchor>
  <xdr:twoCellAnchor editAs="oneCell">
    <xdr:from>
      <xdr:col>0</xdr:col>
      <xdr:colOff>0</xdr:colOff>
      <xdr:row>0</xdr:row>
      <xdr:rowOff>0</xdr:rowOff>
    </xdr:from>
    <xdr:to>
      <xdr:col>18</xdr:col>
      <xdr:colOff>209550</xdr:colOff>
      <xdr:row>35</xdr:row>
      <xdr:rowOff>152400</xdr:rowOff>
    </xdr:to>
    <xdr:pic>
      <xdr:nvPicPr>
        <xdr:cNvPr id="637" name="ID_194E2DF4308D43278416ECB45B949AF6"/>
        <xdr:cNvPicPr>
          <a:picLocks noChangeAspect="1"/>
        </xdr:cNvPicPr>
      </xdr:nvPicPr>
      <xdr:blipFill>
        <a:blip r:embed="rId241"/>
        <a:stretch>
          <a:fillRect/>
        </a:stretch>
      </xdr:blipFill>
      <xdr:spPr>
        <a:xfrm>
          <a:off x="13330555" y="109430185"/>
          <a:ext cx="12553950" cy="6486525"/>
        </a:xfrm>
        <a:prstGeom prst="rect">
          <a:avLst/>
        </a:prstGeom>
        <a:noFill/>
        <a:ln w="9525">
          <a:noFill/>
        </a:ln>
      </xdr:spPr>
    </xdr:pic>
    <xdr:clientData/>
  </xdr:twoCellAnchor>
  <xdr:twoCellAnchor editAs="oneCell">
    <xdr:from>
      <xdr:col>0</xdr:col>
      <xdr:colOff>0</xdr:colOff>
      <xdr:row>0</xdr:row>
      <xdr:rowOff>0</xdr:rowOff>
    </xdr:from>
    <xdr:to>
      <xdr:col>10</xdr:col>
      <xdr:colOff>533400</xdr:colOff>
      <xdr:row>17</xdr:row>
      <xdr:rowOff>47625</xdr:rowOff>
    </xdr:to>
    <xdr:pic>
      <xdr:nvPicPr>
        <xdr:cNvPr id="638" name="ID_01C5F4B3BF3A4926965AC6115B1FED75"/>
        <xdr:cNvPicPr>
          <a:picLocks noChangeAspect="1"/>
        </xdr:cNvPicPr>
      </xdr:nvPicPr>
      <xdr:blipFill>
        <a:blip r:embed="rId242"/>
        <a:stretch>
          <a:fillRect/>
        </a:stretch>
      </xdr:blipFill>
      <xdr:spPr>
        <a:xfrm>
          <a:off x="13330555" y="110268385"/>
          <a:ext cx="7391400" cy="3124200"/>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17</xdr:row>
      <xdr:rowOff>76200</xdr:rowOff>
    </xdr:to>
    <xdr:pic>
      <xdr:nvPicPr>
        <xdr:cNvPr id="639" name="ID_D208BB710EAC4C3A932DA6A0D309C5CD"/>
        <xdr:cNvPicPr>
          <a:picLocks noChangeAspect="1"/>
        </xdr:cNvPicPr>
      </xdr:nvPicPr>
      <xdr:blipFill>
        <a:blip r:embed="rId243"/>
        <a:stretch>
          <a:fillRect/>
        </a:stretch>
      </xdr:blipFill>
      <xdr:spPr>
        <a:xfrm>
          <a:off x="13330555" y="111106585"/>
          <a:ext cx="7486650" cy="3152775"/>
        </a:xfrm>
        <a:prstGeom prst="rect">
          <a:avLst/>
        </a:prstGeom>
        <a:noFill/>
        <a:ln w="9525">
          <a:noFill/>
        </a:ln>
      </xdr:spPr>
    </xdr:pic>
    <xdr:clientData/>
  </xdr:twoCellAnchor>
  <xdr:twoCellAnchor editAs="oneCell">
    <xdr:from>
      <xdr:col>0</xdr:col>
      <xdr:colOff>0</xdr:colOff>
      <xdr:row>0</xdr:row>
      <xdr:rowOff>0</xdr:rowOff>
    </xdr:from>
    <xdr:to>
      <xdr:col>11</xdr:col>
      <xdr:colOff>466725</xdr:colOff>
      <xdr:row>17</xdr:row>
      <xdr:rowOff>0</xdr:rowOff>
    </xdr:to>
    <xdr:pic>
      <xdr:nvPicPr>
        <xdr:cNvPr id="640" name="ID_A8BF7F5D101247248DBD62100AAA777C"/>
        <xdr:cNvPicPr>
          <a:picLocks noChangeAspect="1"/>
        </xdr:cNvPicPr>
      </xdr:nvPicPr>
      <xdr:blipFill>
        <a:blip r:embed="rId244"/>
        <a:stretch>
          <a:fillRect/>
        </a:stretch>
      </xdr:blipFill>
      <xdr:spPr>
        <a:xfrm>
          <a:off x="13330555" y="123050935"/>
          <a:ext cx="8010525" cy="3076575"/>
        </a:xfrm>
        <a:prstGeom prst="rect">
          <a:avLst/>
        </a:prstGeom>
        <a:noFill/>
        <a:ln w="9525">
          <a:noFill/>
        </a:ln>
      </xdr:spPr>
    </xdr:pic>
    <xdr:clientData/>
  </xdr:twoCellAnchor>
  <xdr:twoCellAnchor editAs="oneCell">
    <xdr:from>
      <xdr:col>0</xdr:col>
      <xdr:colOff>0</xdr:colOff>
      <xdr:row>0</xdr:row>
      <xdr:rowOff>0</xdr:rowOff>
    </xdr:from>
    <xdr:to>
      <xdr:col>10</xdr:col>
      <xdr:colOff>657225</xdr:colOff>
      <xdr:row>17</xdr:row>
      <xdr:rowOff>19050</xdr:rowOff>
    </xdr:to>
    <xdr:pic>
      <xdr:nvPicPr>
        <xdr:cNvPr id="641" name="ID_3F0C4EE344374E8C9ACA210C6AC8562B"/>
        <xdr:cNvPicPr>
          <a:picLocks noChangeAspect="1"/>
        </xdr:cNvPicPr>
      </xdr:nvPicPr>
      <xdr:blipFill>
        <a:blip r:embed="rId245"/>
        <a:stretch>
          <a:fillRect/>
        </a:stretch>
      </xdr:blipFill>
      <xdr:spPr>
        <a:xfrm>
          <a:off x="13330555" y="111525685"/>
          <a:ext cx="7515225" cy="3095625"/>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16</xdr:row>
      <xdr:rowOff>152400</xdr:rowOff>
    </xdr:to>
    <xdr:pic>
      <xdr:nvPicPr>
        <xdr:cNvPr id="642" name="ID_88718000B9C443EF99C05E1B4B5008C7"/>
        <xdr:cNvPicPr>
          <a:picLocks noChangeAspect="1"/>
        </xdr:cNvPicPr>
      </xdr:nvPicPr>
      <xdr:blipFill>
        <a:blip r:embed="rId246"/>
        <a:stretch>
          <a:fillRect/>
        </a:stretch>
      </xdr:blipFill>
      <xdr:spPr>
        <a:xfrm>
          <a:off x="13330555" y="111944785"/>
          <a:ext cx="7486650" cy="3048000"/>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142875</xdr:rowOff>
    </xdr:to>
    <xdr:pic>
      <xdr:nvPicPr>
        <xdr:cNvPr id="643" name="ID_1A9BC0C4F1C941F89F8924CFFB55DE7E"/>
        <xdr:cNvPicPr>
          <a:picLocks noChangeAspect="1"/>
        </xdr:cNvPicPr>
      </xdr:nvPicPr>
      <xdr:blipFill>
        <a:blip r:embed="rId247"/>
        <a:stretch>
          <a:fillRect/>
        </a:stretch>
      </xdr:blipFill>
      <xdr:spPr>
        <a:xfrm>
          <a:off x="13330555" y="112782985"/>
          <a:ext cx="7934325" cy="3038475"/>
        </a:xfrm>
        <a:prstGeom prst="rect">
          <a:avLst/>
        </a:prstGeom>
        <a:noFill/>
        <a:ln w="9525">
          <a:noFill/>
        </a:ln>
      </xdr:spPr>
    </xdr:pic>
    <xdr:clientData/>
  </xdr:twoCellAnchor>
  <xdr:twoCellAnchor editAs="oneCell">
    <xdr:from>
      <xdr:col>0</xdr:col>
      <xdr:colOff>0</xdr:colOff>
      <xdr:row>0</xdr:row>
      <xdr:rowOff>0</xdr:rowOff>
    </xdr:from>
    <xdr:to>
      <xdr:col>17</xdr:col>
      <xdr:colOff>523875</xdr:colOff>
      <xdr:row>18</xdr:row>
      <xdr:rowOff>142875</xdr:rowOff>
    </xdr:to>
    <xdr:pic>
      <xdr:nvPicPr>
        <xdr:cNvPr id="644" name="ID_497CB871F4FD4FA4AAA2E196FE284C30"/>
        <xdr:cNvPicPr>
          <a:picLocks noChangeAspect="1"/>
        </xdr:cNvPicPr>
      </xdr:nvPicPr>
      <xdr:blipFill>
        <a:blip r:embed="rId248"/>
        <a:stretch>
          <a:fillRect/>
        </a:stretch>
      </xdr:blipFill>
      <xdr:spPr>
        <a:xfrm>
          <a:off x="13330555" y="116345335"/>
          <a:ext cx="12182475" cy="3400425"/>
        </a:xfrm>
        <a:prstGeom prst="rect">
          <a:avLst/>
        </a:prstGeom>
        <a:noFill/>
        <a:ln w="9525">
          <a:noFill/>
        </a:ln>
      </xdr:spPr>
    </xdr:pic>
    <xdr:clientData/>
  </xdr:twoCellAnchor>
  <xdr:twoCellAnchor editAs="oneCell">
    <xdr:from>
      <xdr:col>0</xdr:col>
      <xdr:colOff>0</xdr:colOff>
      <xdr:row>0</xdr:row>
      <xdr:rowOff>0</xdr:rowOff>
    </xdr:from>
    <xdr:to>
      <xdr:col>10</xdr:col>
      <xdr:colOff>619125</xdr:colOff>
      <xdr:row>17</xdr:row>
      <xdr:rowOff>9525</xdr:rowOff>
    </xdr:to>
    <xdr:pic>
      <xdr:nvPicPr>
        <xdr:cNvPr id="645" name="ID_AE8396AF69714C6289AA6B960EC06495"/>
        <xdr:cNvPicPr>
          <a:picLocks noChangeAspect="1"/>
        </xdr:cNvPicPr>
      </xdr:nvPicPr>
      <xdr:blipFill>
        <a:blip r:embed="rId249"/>
        <a:stretch>
          <a:fillRect/>
        </a:stretch>
      </xdr:blipFill>
      <xdr:spPr>
        <a:xfrm>
          <a:off x="13330555" y="117602635"/>
          <a:ext cx="7477125" cy="3086100"/>
        </a:xfrm>
        <a:prstGeom prst="rect">
          <a:avLst/>
        </a:prstGeom>
        <a:noFill/>
        <a:ln w="9525">
          <a:noFill/>
        </a:ln>
      </xdr:spPr>
    </xdr:pic>
    <xdr:clientData/>
  </xdr:twoCellAnchor>
  <xdr:twoCellAnchor editAs="oneCell">
    <xdr:from>
      <xdr:col>0</xdr:col>
      <xdr:colOff>0</xdr:colOff>
      <xdr:row>0</xdr:row>
      <xdr:rowOff>0</xdr:rowOff>
    </xdr:from>
    <xdr:to>
      <xdr:col>10</xdr:col>
      <xdr:colOff>619125</xdr:colOff>
      <xdr:row>17</xdr:row>
      <xdr:rowOff>0</xdr:rowOff>
    </xdr:to>
    <xdr:pic>
      <xdr:nvPicPr>
        <xdr:cNvPr id="646" name="ID_160F7BE6D78A4C94805FCAE5FA4D7AD6"/>
        <xdr:cNvPicPr>
          <a:picLocks noChangeAspect="1"/>
        </xdr:cNvPicPr>
      </xdr:nvPicPr>
      <xdr:blipFill>
        <a:blip r:embed="rId250"/>
        <a:stretch>
          <a:fillRect/>
        </a:stretch>
      </xdr:blipFill>
      <xdr:spPr>
        <a:xfrm>
          <a:off x="13330555" y="118021735"/>
          <a:ext cx="7477125" cy="3076575"/>
        </a:xfrm>
        <a:prstGeom prst="rect">
          <a:avLst/>
        </a:prstGeom>
        <a:noFill/>
        <a:ln w="9525">
          <a:noFill/>
        </a:ln>
      </xdr:spPr>
    </xdr:pic>
    <xdr:clientData/>
  </xdr:twoCellAnchor>
  <xdr:twoCellAnchor editAs="oneCell">
    <xdr:from>
      <xdr:col>0</xdr:col>
      <xdr:colOff>0</xdr:colOff>
      <xdr:row>0</xdr:row>
      <xdr:rowOff>0</xdr:rowOff>
    </xdr:from>
    <xdr:to>
      <xdr:col>14</xdr:col>
      <xdr:colOff>533400</xdr:colOff>
      <xdr:row>35</xdr:row>
      <xdr:rowOff>38100</xdr:rowOff>
    </xdr:to>
    <xdr:pic>
      <xdr:nvPicPr>
        <xdr:cNvPr id="647" name="ID_157D7654B4B14EA9A181A4C000A4FEEC"/>
        <xdr:cNvPicPr>
          <a:picLocks noChangeAspect="1"/>
        </xdr:cNvPicPr>
      </xdr:nvPicPr>
      <xdr:blipFill>
        <a:blip r:embed="rId251"/>
        <a:stretch>
          <a:fillRect/>
        </a:stretch>
      </xdr:blipFill>
      <xdr:spPr>
        <a:xfrm>
          <a:off x="13330555" y="118859935"/>
          <a:ext cx="10134600" cy="6372225"/>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16</xdr:row>
      <xdr:rowOff>152400</xdr:rowOff>
    </xdr:to>
    <xdr:pic>
      <xdr:nvPicPr>
        <xdr:cNvPr id="648" name="ID_E67B96374A914F64B074DD8F13B7F4A5"/>
        <xdr:cNvPicPr>
          <a:picLocks noChangeAspect="1"/>
        </xdr:cNvPicPr>
      </xdr:nvPicPr>
      <xdr:blipFill>
        <a:blip r:embed="rId252"/>
        <a:stretch>
          <a:fillRect/>
        </a:stretch>
      </xdr:blipFill>
      <xdr:spPr>
        <a:xfrm>
          <a:off x="13330555" y="119698135"/>
          <a:ext cx="7448550" cy="3048000"/>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17</xdr:row>
      <xdr:rowOff>0</xdr:rowOff>
    </xdr:to>
    <xdr:pic>
      <xdr:nvPicPr>
        <xdr:cNvPr id="649" name="ID_9B680F587D5142CEA5B18DCE7505A919"/>
        <xdr:cNvPicPr>
          <a:picLocks noChangeAspect="1"/>
        </xdr:cNvPicPr>
      </xdr:nvPicPr>
      <xdr:blipFill>
        <a:blip r:embed="rId253"/>
        <a:stretch>
          <a:fillRect/>
        </a:stretch>
      </xdr:blipFill>
      <xdr:spPr>
        <a:xfrm>
          <a:off x="13330555" y="120117235"/>
          <a:ext cx="7439025" cy="3076575"/>
        </a:xfrm>
        <a:prstGeom prst="rect">
          <a:avLst/>
        </a:prstGeom>
        <a:noFill/>
        <a:ln w="9525">
          <a:noFill/>
        </a:ln>
      </xdr:spPr>
    </xdr:pic>
    <xdr:clientData/>
  </xdr:twoCellAnchor>
  <xdr:twoCellAnchor editAs="oneCell">
    <xdr:from>
      <xdr:col>0</xdr:col>
      <xdr:colOff>0</xdr:colOff>
      <xdr:row>0</xdr:row>
      <xdr:rowOff>0</xdr:rowOff>
    </xdr:from>
    <xdr:to>
      <xdr:col>17</xdr:col>
      <xdr:colOff>66675</xdr:colOff>
      <xdr:row>18</xdr:row>
      <xdr:rowOff>66675</xdr:rowOff>
    </xdr:to>
    <xdr:pic>
      <xdr:nvPicPr>
        <xdr:cNvPr id="650" name="ID_E84D8A33AD72492296CAC34CA7DEF448"/>
        <xdr:cNvPicPr>
          <a:picLocks noChangeAspect="1"/>
        </xdr:cNvPicPr>
      </xdr:nvPicPr>
      <xdr:blipFill>
        <a:blip r:embed="rId254"/>
        <a:stretch>
          <a:fillRect/>
        </a:stretch>
      </xdr:blipFill>
      <xdr:spPr>
        <a:xfrm>
          <a:off x="13330555" y="120955435"/>
          <a:ext cx="11725275" cy="3324225"/>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37</xdr:row>
      <xdr:rowOff>38100</xdr:rowOff>
    </xdr:to>
    <xdr:pic>
      <xdr:nvPicPr>
        <xdr:cNvPr id="651" name="ID_FF938C1DF0954E78B364AABD0B881F59"/>
        <xdr:cNvPicPr>
          <a:picLocks noChangeAspect="1"/>
        </xdr:cNvPicPr>
      </xdr:nvPicPr>
      <xdr:blipFill>
        <a:blip r:embed="rId255"/>
        <a:stretch>
          <a:fillRect/>
        </a:stretch>
      </xdr:blipFill>
      <xdr:spPr>
        <a:xfrm>
          <a:off x="13330555" y="121374535"/>
          <a:ext cx="7000875" cy="6734175"/>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16</xdr:row>
      <xdr:rowOff>152400</xdr:rowOff>
    </xdr:to>
    <xdr:pic>
      <xdr:nvPicPr>
        <xdr:cNvPr id="652" name="ID_CB1BD6F974D64E67986928F3DF42B5C0"/>
        <xdr:cNvPicPr>
          <a:picLocks noChangeAspect="1"/>
        </xdr:cNvPicPr>
      </xdr:nvPicPr>
      <xdr:blipFill>
        <a:blip r:embed="rId256"/>
        <a:stretch>
          <a:fillRect/>
        </a:stretch>
      </xdr:blipFill>
      <xdr:spPr>
        <a:xfrm>
          <a:off x="13330555" y="121793635"/>
          <a:ext cx="7458075" cy="3048000"/>
        </a:xfrm>
        <a:prstGeom prst="rect">
          <a:avLst/>
        </a:prstGeom>
        <a:noFill/>
        <a:ln w="9525">
          <a:noFill/>
        </a:ln>
      </xdr:spPr>
    </xdr:pic>
    <xdr:clientData/>
  </xdr:twoCellAnchor>
  <xdr:twoCellAnchor editAs="oneCell">
    <xdr:from>
      <xdr:col>0</xdr:col>
      <xdr:colOff>0</xdr:colOff>
      <xdr:row>0</xdr:row>
      <xdr:rowOff>0</xdr:rowOff>
    </xdr:from>
    <xdr:to>
      <xdr:col>11</xdr:col>
      <xdr:colOff>371475</xdr:colOff>
      <xdr:row>14</xdr:row>
      <xdr:rowOff>152400</xdr:rowOff>
    </xdr:to>
    <xdr:pic>
      <xdr:nvPicPr>
        <xdr:cNvPr id="653" name="ID_497D39E6BB3F41D38DD58B87FB2A1CD5"/>
        <xdr:cNvPicPr>
          <a:picLocks noChangeAspect="1"/>
        </xdr:cNvPicPr>
      </xdr:nvPicPr>
      <xdr:blipFill>
        <a:blip r:embed="rId257"/>
        <a:stretch>
          <a:fillRect/>
        </a:stretch>
      </xdr:blipFill>
      <xdr:spPr>
        <a:xfrm>
          <a:off x="13330555" y="123470035"/>
          <a:ext cx="7915275" cy="2686050"/>
        </a:xfrm>
        <a:prstGeom prst="rect">
          <a:avLst/>
        </a:prstGeom>
        <a:noFill/>
        <a:ln w="9525">
          <a:noFill/>
        </a:ln>
      </xdr:spPr>
    </xdr:pic>
    <xdr:clientData/>
  </xdr:twoCellAnchor>
  <xdr:twoCellAnchor editAs="oneCell">
    <xdr:from>
      <xdr:col>0</xdr:col>
      <xdr:colOff>0</xdr:colOff>
      <xdr:row>0</xdr:row>
      <xdr:rowOff>0</xdr:rowOff>
    </xdr:from>
    <xdr:to>
      <xdr:col>11</xdr:col>
      <xdr:colOff>561975</xdr:colOff>
      <xdr:row>16</xdr:row>
      <xdr:rowOff>152400</xdr:rowOff>
    </xdr:to>
    <xdr:pic>
      <xdr:nvPicPr>
        <xdr:cNvPr id="654" name="ID_46479667308348238E0E6CE5286F8F51"/>
        <xdr:cNvPicPr>
          <a:picLocks noChangeAspect="1"/>
        </xdr:cNvPicPr>
      </xdr:nvPicPr>
      <xdr:blipFill>
        <a:blip r:embed="rId258"/>
        <a:stretch>
          <a:fillRect/>
        </a:stretch>
      </xdr:blipFill>
      <xdr:spPr>
        <a:xfrm>
          <a:off x="13330555" y="123889135"/>
          <a:ext cx="8105775" cy="3048000"/>
        </a:xfrm>
        <a:prstGeom prst="rect">
          <a:avLst/>
        </a:prstGeom>
        <a:noFill/>
        <a:ln w="9525">
          <a:noFill/>
        </a:ln>
      </xdr:spPr>
    </xdr:pic>
    <xdr:clientData/>
  </xdr:twoCellAnchor>
  <xdr:twoCellAnchor editAs="oneCell">
    <xdr:from>
      <xdr:col>0</xdr:col>
      <xdr:colOff>0</xdr:colOff>
      <xdr:row>0</xdr:row>
      <xdr:rowOff>0</xdr:rowOff>
    </xdr:from>
    <xdr:to>
      <xdr:col>11</xdr:col>
      <xdr:colOff>466725</xdr:colOff>
      <xdr:row>16</xdr:row>
      <xdr:rowOff>133350</xdr:rowOff>
    </xdr:to>
    <xdr:pic>
      <xdr:nvPicPr>
        <xdr:cNvPr id="655" name="ID_8BAD950E2AC245DAB39ADE1EE57C43F3"/>
        <xdr:cNvPicPr>
          <a:picLocks noChangeAspect="1"/>
        </xdr:cNvPicPr>
      </xdr:nvPicPr>
      <xdr:blipFill>
        <a:blip r:embed="rId259"/>
        <a:stretch>
          <a:fillRect/>
        </a:stretch>
      </xdr:blipFill>
      <xdr:spPr>
        <a:xfrm>
          <a:off x="13330555" y="124308235"/>
          <a:ext cx="8010525" cy="3028950"/>
        </a:xfrm>
        <a:prstGeom prst="rect">
          <a:avLst/>
        </a:prstGeom>
        <a:noFill/>
        <a:ln w="9525">
          <a:noFill/>
        </a:ln>
      </xdr:spPr>
    </xdr:pic>
    <xdr:clientData/>
  </xdr:twoCellAnchor>
  <xdr:twoCellAnchor editAs="oneCell">
    <xdr:from>
      <xdr:col>0</xdr:col>
      <xdr:colOff>0</xdr:colOff>
      <xdr:row>0</xdr:row>
      <xdr:rowOff>0</xdr:rowOff>
    </xdr:from>
    <xdr:to>
      <xdr:col>11</xdr:col>
      <xdr:colOff>400050</xdr:colOff>
      <xdr:row>17</xdr:row>
      <xdr:rowOff>28575</xdr:rowOff>
    </xdr:to>
    <xdr:pic>
      <xdr:nvPicPr>
        <xdr:cNvPr id="656" name="ID_5063FCEB34DB45E698CE8C0A6F5349F3"/>
        <xdr:cNvPicPr>
          <a:picLocks noChangeAspect="1"/>
        </xdr:cNvPicPr>
      </xdr:nvPicPr>
      <xdr:blipFill>
        <a:blip r:embed="rId260"/>
        <a:stretch>
          <a:fillRect/>
        </a:stretch>
      </xdr:blipFill>
      <xdr:spPr>
        <a:xfrm>
          <a:off x="13330555" y="124727335"/>
          <a:ext cx="7943850" cy="3105150"/>
        </a:xfrm>
        <a:prstGeom prst="rect">
          <a:avLst/>
        </a:prstGeom>
        <a:noFill/>
        <a:ln w="9525">
          <a:noFill/>
        </a:ln>
      </xdr:spPr>
    </xdr:pic>
    <xdr:clientData/>
  </xdr:twoCellAnchor>
  <xdr:twoCellAnchor editAs="oneCell">
    <xdr:from>
      <xdr:col>0</xdr:col>
      <xdr:colOff>0</xdr:colOff>
      <xdr:row>0</xdr:row>
      <xdr:rowOff>0</xdr:rowOff>
    </xdr:from>
    <xdr:to>
      <xdr:col>13</xdr:col>
      <xdr:colOff>361950</xdr:colOff>
      <xdr:row>14</xdr:row>
      <xdr:rowOff>66675</xdr:rowOff>
    </xdr:to>
    <xdr:pic>
      <xdr:nvPicPr>
        <xdr:cNvPr id="657" name="ID_27EC5F1F398D491CB2912E1182B97E56"/>
        <xdr:cNvPicPr>
          <a:picLocks noChangeAspect="1"/>
        </xdr:cNvPicPr>
      </xdr:nvPicPr>
      <xdr:blipFill>
        <a:blip r:embed="rId261"/>
        <a:stretch>
          <a:fillRect/>
        </a:stretch>
      </xdr:blipFill>
      <xdr:spPr>
        <a:xfrm>
          <a:off x="13330555" y="125565535"/>
          <a:ext cx="9277350" cy="2600325"/>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17</xdr:row>
      <xdr:rowOff>0</xdr:rowOff>
    </xdr:to>
    <xdr:pic>
      <xdr:nvPicPr>
        <xdr:cNvPr id="658" name="ID_F9FDA1F7093F4F988B2B09F13C11F621"/>
        <xdr:cNvPicPr>
          <a:picLocks noChangeAspect="1"/>
        </xdr:cNvPicPr>
      </xdr:nvPicPr>
      <xdr:blipFill>
        <a:blip r:embed="rId262"/>
        <a:stretch>
          <a:fillRect/>
        </a:stretch>
      </xdr:blipFill>
      <xdr:spPr>
        <a:xfrm>
          <a:off x="13330555" y="128708785"/>
          <a:ext cx="7924800" cy="3076575"/>
        </a:xfrm>
        <a:prstGeom prst="rect">
          <a:avLst/>
        </a:prstGeom>
        <a:noFill/>
        <a:ln w="9525">
          <a:noFill/>
        </a:ln>
      </xdr:spPr>
    </xdr:pic>
    <xdr:clientData/>
  </xdr:twoCellAnchor>
  <xdr:twoCellAnchor editAs="oneCell">
    <xdr:from>
      <xdr:col>0</xdr:col>
      <xdr:colOff>0</xdr:colOff>
      <xdr:row>0</xdr:row>
      <xdr:rowOff>0</xdr:rowOff>
    </xdr:from>
    <xdr:to>
      <xdr:col>11</xdr:col>
      <xdr:colOff>361950</xdr:colOff>
      <xdr:row>16</xdr:row>
      <xdr:rowOff>133350</xdr:rowOff>
    </xdr:to>
    <xdr:pic>
      <xdr:nvPicPr>
        <xdr:cNvPr id="659" name="ID_A36B6F9501BF41BBAD44343285681B86"/>
        <xdr:cNvPicPr>
          <a:picLocks noChangeAspect="1"/>
        </xdr:cNvPicPr>
      </xdr:nvPicPr>
      <xdr:blipFill>
        <a:blip r:embed="rId263"/>
        <a:stretch>
          <a:fillRect/>
        </a:stretch>
      </xdr:blipFill>
      <xdr:spPr>
        <a:xfrm>
          <a:off x="13330555" y="129127885"/>
          <a:ext cx="7905750" cy="3028950"/>
        </a:xfrm>
        <a:prstGeom prst="rect">
          <a:avLst/>
        </a:prstGeom>
        <a:noFill/>
        <a:ln w="9525">
          <a:noFill/>
        </a:ln>
      </xdr:spPr>
    </xdr:pic>
    <xdr:clientData/>
  </xdr:twoCellAnchor>
  <xdr:twoCellAnchor editAs="oneCell">
    <xdr:from>
      <xdr:col>0</xdr:col>
      <xdr:colOff>0</xdr:colOff>
      <xdr:row>0</xdr:row>
      <xdr:rowOff>0</xdr:rowOff>
    </xdr:from>
    <xdr:to>
      <xdr:col>11</xdr:col>
      <xdr:colOff>476250</xdr:colOff>
      <xdr:row>17</xdr:row>
      <xdr:rowOff>19050</xdr:rowOff>
    </xdr:to>
    <xdr:pic>
      <xdr:nvPicPr>
        <xdr:cNvPr id="660" name="ID_892E3B846D324306B389C6FCADAF109E"/>
        <xdr:cNvPicPr>
          <a:picLocks noChangeAspect="1"/>
        </xdr:cNvPicPr>
      </xdr:nvPicPr>
      <xdr:blipFill>
        <a:blip r:embed="rId264"/>
        <a:stretch>
          <a:fillRect/>
        </a:stretch>
      </xdr:blipFill>
      <xdr:spPr>
        <a:xfrm>
          <a:off x="13330555" y="129546985"/>
          <a:ext cx="8020050" cy="3095625"/>
        </a:xfrm>
        <a:prstGeom prst="rect">
          <a:avLst/>
        </a:prstGeom>
        <a:noFill/>
        <a:ln w="9525">
          <a:noFill/>
        </a:ln>
      </xdr:spPr>
    </xdr:pic>
    <xdr:clientData/>
  </xdr:twoCellAnchor>
  <xdr:twoCellAnchor editAs="oneCell">
    <xdr:from>
      <xdr:col>0</xdr:col>
      <xdr:colOff>0</xdr:colOff>
      <xdr:row>0</xdr:row>
      <xdr:rowOff>0</xdr:rowOff>
    </xdr:from>
    <xdr:to>
      <xdr:col>11</xdr:col>
      <xdr:colOff>419100</xdr:colOff>
      <xdr:row>17</xdr:row>
      <xdr:rowOff>28575</xdr:rowOff>
    </xdr:to>
    <xdr:pic>
      <xdr:nvPicPr>
        <xdr:cNvPr id="661" name="ID_F431B7D2182B43A29A0E2E2E229E5F21"/>
        <xdr:cNvPicPr>
          <a:picLocks noChangeAspect="1"/>
        </xdr:cNvPicPr>
      </xdr:nvPicPr>
      <xdr:blipFill>
        <a:blip r:embed="rId265"/>
        <a:stretch>
          <a:fillRect/>
        </a:stretch>
      </xdr:blipFill>
      <xdr:spPr>
        <a:xfrm>
          <a:off x="13330555" y="130175635"/>
          <a:ext cx="7962900" cy="3105150"/>
        </a:xfrm>
        <a:prstGeom prst="rect">
          <a:avLst/>
        </a:prstGeom>
        <a:noFill/>
        <a:ln w="9525">
          <a:noFill/>
        </a:ln>
      </xdr:spPr>
    </xdr:pic>
    <xdr:clientData/>
  </xdr:twoCellAnchor>
  <xdr:twoCellAnchor editAs="oneCell">
    <xdr:from>
      <xdr:col>0</xdr:col>
      <xdr:colOff>0</xdr:colOff>
      <xdr:row>0</xdr:row>
      <xdr:rowOff>0</xdr:rowOff>
    </xdr:from>
    <xdr:to>
      <xdr:col>11</xdr:col>
      <xdr:colOff>447675</xdr:colOff>
      <xdr:row>16</xdr:row>
      <xdr:rowOff>152400</xdr:rowOff>
    </xdr:to>
    <xdr:pic>
      <xdr:nvPicPr>
        <xdr:cNvPr id="662" name="ID_A9AE36BDB8CA4D16BB4C47AD135C0169"/>
        <xdr:cNvPicPr>
          <a:picLocks noChangeAspect="1"/>
        </xdr:cNvPicPr>
      </xdr:nvPicPr>
      <xdr:blipFill>
        <a:blip r:embed="rId266"/>
        <a:stretch>
          <a:fillRect/>
        </a:stretch>
      </xdr:blipFill>
      <xdr:spPr>
        <a:xfrm>
          <a:off x="13330555" y="130594735"/>
          <a:ext cx="7991475" cy="3048000"/>
        </a:xfrm>
        <a:prstGeom prst="rect">
          <a:avLst/>
        </a:prstGeom>
        <a:noFill/>
        <a:ln w="9525">
          <a:noFill/>
        </a:ln>
      </xdr:spPr>
    </xdr:pic>
    <xdr:clientData/>
  </xdr:twoCellAnchor>
  <xdr:twoCellAnchor editAs="oneCell">
    <xdr:from>
      <xdr:col>0</xdr:col>
      <xdr:colOff>0</xdr:colOff>
      <xdr:row>0</xdr:row>
      <xdr:rowOff>0</xdr:rowOff>
    </xdr:from>
    <xdr:to>
      <xdr:col>18</xdr:col>
      <xdr:colOff>390525</xdr:colOff>
      <xdr:row>18</xdr:row>
      <xdr:rowOff>9525</xdr:rowOff>
    </xdr:to>
    <xdr:pic>
      <xdr:nvPicPr>
        <xdr:cNvPr id="663" name="ID_F0435B3499B8488398D9B454821FAADB"/>
        <xdr:cNvPicPr>
          <a:picLocks noChangeAspect="1"/>
        </xdr:cNvPicPr>
      </xdr:nvPicPr>
      <xdr:blipFill>
        <a:blip r:embed="rId267"/>
        <a:stretch>
          <a:fillRect/>
        </a:stretch>
      </xdr:blipFill>
      <xdr:spPr>
        <a:xfrm>
          <a:off x="12837795" y="12184380"/>
          <a:ext cx="12734925" cy="3267075"/>
        </a:xfrm>
        <a:prstGeom prst="rect">
          <a:avLst/>
        </a:prstGeom>
        <a:noFill/>
        <a:ln w="9525">
          <a:noFill/>
        </a:ln>
      </xdr:spPr>
    </xdr:pic>
    <xdr:clientData/>
  </xdr:twoCellAnchor>
  <xdr:twoCellAnchor editAs="oneCell">
    <xdr:from>
      <xdr:col>0</xdr:col>
      <xdr:colOff>0</xdr:colOff>
      <xdr:row>0</xdr:row>
      <xdr:rowOff>0</xdr:rowOff>
    </xdr:from>
    <xdr:to>
      <xdr:col>18</xdr:col>
      <xdr:colOff>219075</xdr:colOff>
      <xdr:row>16</xdr:row>
      <xdr:rowOff>142875</xdr:rowOff>
    </xdr:to>
    <xdr:pic>
      <xdr:nvPicPr>
        <xdr:cNvPr id="664" name="ID_3A79970E438E4B7CB1A609BB7E58AADA"/>
        <xdr:cNvPicPr>
          <a:picLocks noChangeAspect="1"/>
        </xdr:cNvPicPr>
      </xdr:nvPicPr>
      <xdr:blipFill>
        <a:blip r:embed="rId268"/>
        <a:stretch>
          <a:fillRect/>
        </a:stretch>
      </xdr:blipFill>
      <xdr:spPr>
        <a:xfrm>
          <a:off x="12837795" y="12454890"/>
          <a:ext cx="12563475" cy="3038475"/>
        </a:xfrm>
        <a:prstGeom prst="rect">
          <a:avLst/>
        </a:prstGeom>
        <a:noFill/>
        <a:ln w="9525">
          <a:noFill/>
        </a:ln>
      </xdr:spPr>
    </xdr:pic>
    <xdr:clientData/>
  </xdr:twoCellAnchor>
  <xdr:twoCellAnchor editAs="oneCell">
    <xdr:from>
      <xdr:col>0</xdr:col>
      <xdr:colOff>0</xdr:colOff>
      <xdr:row>0</xdr:row>
      <xdr:rowOff>0</xdr:rowOff>
    </xdr:from>
    <xdr:to>
      <xdr:col>18</xdr:col>
      <xdr:colOff>542925</xdr:colOff>
      <xdr:row>17</xdr:row>
      <xdr:rowOff>0</xdr:rowOff>
    </xdr:to>
    <xdr:pic>
      <xdr:nvPicPr>
        <xdr:cNvPr id="665" name="ID_C7211E65DAE34E9B80DA8E1C9705739A"/>
        <xdr:cNvPicPr>
          <a:picLocks noChangeAspect="1"/>
        </xdr:cNvPicPr>
      </xdr:nvPicPr>
      <xdr:blipFill>
        <a:blip r:embed="rId269"/>
        <a:stretch>
          <a:fillRect/>
        </a:stretch>
      </xdr:blipFill>
      <xdr:spPr>
        <a:xfrm>
          <a:off x="12837795" y="20952460"/>
          <a:ext cx="12887325" cy="3076575"/>
        </a:xfrm>
        <a:prstGeom prst="rect">
          <a:avLst/>
        </a:prstGeom>
        <a:noFill/>
        <a:ln w="9525">
          <a:noFill/>
        </a:ln>
      </xdr:spPr>
    </xdr:pic>
    <xdr:clientData/>
  </xdr:twoCellAnchor>
  <xdr:twoCellAnchor editAs="oneCell">
    <xdr:from>
      <xdr:col>0</xdr:col>
      <xdr:colOff>0</xdr:colOff>
      <xdr:row>0</xdr:row>
      <xdr:rowOff>0</xdr:rowOff>
    </xdr:from>
    <xdr:to>
      <xdr:col>18</xdr:col>
      <xdr:colOff>457200</xdr:colOff>
      <xdr:row>17</xdr:row>
      <xdr:rowOff>38100</xdr:rowOff>
    </xdr:to>
    <xdr:pic>
      <xdr:nvPicPr>
        <xdr:cNvPr id="666" name="ID_CB2752DA6E0B4564B25631B0D1834BA9"/>
        <xdr:cNvPicPr>
          <a:picLocks noChangeAspect="1"/>
        </xdr:cNvPicPr>
      </xdr:nvPicPr>
      <xdr:blipFill>
        <a:blip r:embed="rId270"/>
        <a:stretch>
          <a:fillRect/>
        </a:stretch>
      </xdr:blipFill>
      <xdr:spPr>
        <a:xfrm>
          <a:off x="12837795" y="108182410"/>
          <a:ext cx="12801600" cy="3114675"/>
        </a:xfrm>
        <a:prstGeom prst="rect">
          <a:avLst/>
        </a:prstGeom>
        <a:noFill/>
        <a:ln w="9525">
          <a:noFill/>
        </a:ln>
      </xdr:spPr>
    </xdr:pic>
    <xdr:clientData/>
  </xdr:twoCellAnchor>
  <xdr:twoCellAnchor editAs="oneCell">
    <xdr:from>
      <xdr:col>0</xdr:col>
      <xdr:colOff>0</xdr:colOff>
      <xdr:row>0</xdr:row>
      <xdr:rowOff>0</xdr:rowOff>
    </xdr:from>
    <xdr:to>
      <xdr:col>16</xdr:col>
      <xdr:colOff>590550</xdr:colOff>
      <xdr:row>17</xdr:row>
      <xdr:rowOff>0</xdr:rowOff>
    </xdr:to>
    <xdr:pic>
      <xdr:nvPicPr>
        <xdr:cNvPr id="667" name="ID_18FE5551D02744B2B05264F187FA7B5A"/>
        <xdr:cNvPicPr>
          <a:picLocks noChangeAspect="1"/>
        </xdr:cNvPicPr>
      </xdr:nvPicPr>
      <xdr:blipFill>
        <a:blip r:embed="rId271"/>
        <a:stretch>
          <a:fillRect/>
        </a:stretch>
      </xdr:blipFill>
      <xdr:spPr>
        <a:xfrm>
          <a:off x="12837795" y="166150290"/>
          <a:ext cx="11563350" cy="3076575"/>
        </a:xfrm>
        <a:prstGeom prst="rect">
          <a:avLst/>
        </a:prstGeom>
        <a:noFill/>
        <a:ln w="9525">
          <a:noFill/>
        </a:ln>
      </xdr:spPr>
    </xdr:pic>
    <xdr:clientData/>
  </xdr:twoCellAnchor>
  <xdr:twoCellAnchor editAs="oneCell">
    <xdr:from>
      <xdr:col>0</xdr:col>
      <xdr:colOff>0</xdr:colOff>
      <xdr:row>0</xdr:row>
      <xdr:rowOff>0</xdr:rowOff>
    </xdr:from>
    <xdr:to>
      <xdr:col>17</xdr:col>
      <xdr:colOff>276225</xdr:colOff>
      <xdr:row>17</xdr:row>
      <xdr:rowOff>171450</xdr:rowOff>
    </xdr:to>
    <xdr:pic>
      <xdr:nvPicPr>
        <xdr:cNvPr id="668" name="ID_69342BE5EAE54B50AC7C3F581CCDFD5E"/>
        <xdr:cNvPicPr>
          <a:picLocks noChangeAspect="1"/>
        </xdr:cNvPicPr>
      </xdr:nvPicPr>
      <xdr:blipFill>
        <a:blip r:embed="rId272"/>
        <a:stretch>
          <a:fillRect/>
        </a:stretch>
      </xdr:blipFill>
      <xdr:spPr>
        <a:xfrm>
          <a:off x="12837795" y="168334690"/>
          <a:ext cx="11934825" cy="3248025"/>
        </a:xfrm>
        <a:prstGeom prst="rect">
          <a:avLst/>
        </a:prstGeom>
        <a:noFill/>
        <a:ln w="9525">
          <a:noFill/>
        </a:ln>
      </xdr:spPr>
    </xdr:pic>
    <xdr:clientData/>
  </xdr:twoCellAnchor>
  <xdr:twoCellAnchor editAs="oneCell">
    <xdr:from>
      <xdr:col>0</xdr:col>
      <xdr:colOff>0</xdr:colOff>
      <xdr:row>0</xdr:row>
      <xdr:rowOff>0</xdr:rowOff>
    </xdr:from>
    <xdr:to>
      <xdr:col>17</xdr:col>
      <xdr:colOff>266700</xdr:colOff>
      <xdr:row>17</xdr:row>
      <xdr:rowOff>9525</xdr:rowOff>
    </xdr:to>
    <xdr:pic>
      <xdr:nvPicPr>
        <xdr:cNvPr id="669" name="ID_1833D7D3198E4370896EDBE90CF81119"/>
        <xdr:cNvPicPr>
          <a:picLocks noChangeAspect="1"/>
        </xdr:cNvPicPr>
      </xdr:nvPicPr>
      <xdr:blipFill>
        <a:blip r:embed="rId273"/>
        <a:stretch>
          <a:fillRect/>
        </a:stretch>
      </xdr:blipFill>
      <xdr:spPr>
        <a:xfrm>
          <a:off x="12837795" y="168003855"/>
          <a:ext cx="11925300" cy="3086100"/>
        </a:xfrm>
        <a:prstGeom prst="rect">
          <a:avLst/>
        </a:prstGeom>
        <a:noFill/>
        <a:ln w="9525">
          <a:noFill/>
        </a:ln>
      </xdr:spPr>
    </xdr:pic>
    <xdr:clientData/>
  </xdr:twoCellAnchor>
  <xdr:twoCellAnchor editAs="oneCell">
    <xdr:from>
      <xdr:col>0</xdr:col>
      <xdr:colOff>0</xdr:colOff>
      <xdr:row>0</xdr:row>
      <xdr:rowOff>0</xdr:rowOff>
    </xdr:from>
    <xdr:to>
      <xdr:col>17</xdr:col>
      <xdr:colOff>352425</xdr:colOff>
      <xdr:row>16</xdr:row>
      <xdr:rowOff>152400</xdr:rowOff>
    </xdr:to>
    <xdr:pic>
      <xdr:nvPicPr>
        <xdr:cNvPr id="670" name="ID_92D081C532704019B394B84F7BE45BF1"/>
        <xdr:cNvPicPr>
          <a:picLocks noChangeAspect="1"/>
        </xdr:cNvPicPr>
      </xdr:nvPicPr>
      <xdr:blipFill>
        <a:blip r:embed="rId274"/>
        <a:stretch>
          <a:fillRect/>
        </a:stretch>
      </xdr:blipFill>
      <xdr:spPr>
        <a:xfrm>
          <a:off x="12837795" y="169146855"/>
          <a:ext cx="12011025" cy="3048000"/>
        </a:xfrm>
        <a:prstGeom prst="rect">
          <a:avLst/>
        </a:prstGeom>
        <a:noFill/>
        <a:ln w="9525">
          <a:noFill/>
        </a:ln>
      </xdr:spPr>
    </xdr:pic>
    <xdr:clientData/>
  </xdr:twoCellAnchor>
  <xdr:twoCellAnchor editAs="oneCell">
    <xdr:from>
      <xdr:col>0</xdr:col>
      <xdr:colOff>0</xdr:colOff>
      <xdr:row>0</xdr:row>
      <xdr:rowOff>0</xdr:rowOff>
    </xdr:from>
    <xdr:to>
      <xdr:col>17</xdr:col>
      <xdr:colOff>361950</xdr:colOff>
      <xdr:row>17</xdr:row>
      <xdr:rowOff>28575</xdr:rowOff>
    </xdr:to>
    <xdr:pic>
      <xdr:nvPicPr>
        <xdr:cNvPr id="671" name="ID_F23AC45A27AA44B6BCB5628F30B1CA34"/>
        <xdr:cNvPicPr>
          <a:picLocks noChangeAspect="1"/>
        </xdr:cNvPicPr>
      </xdr:nvPicPr>
      <xdr:blipFill>
        <a:blip r:embed="rId275"/>
        <a:stretch>
          <a:fillRect/>
        </a:stretch>
      </xdr:blipFill>
      <xdr:spPr>
        <a:xfrm>
          <a:off x="12837795" y="169718355"/>
          <a:ext cx="12020550" cy="3105150"/>
        </a:xfrm>
        <a:prstGeom prst="rect">
          <a:avLst/>
        </a:prstGeom>
        <a:noFill/>
        <a:ln w="9525">
          <a:noFill/>
        </a:ln>
      </xdr:spPr>
    </xdr:pic>
    <xdr:clientData/>
  </xdr:twoCellAnchor>
  <xdr:twoCellAnchor editAs="oneCell">
    <xdr:from>
      <xdr:col>0</xdr:col>
      <xdr:colOff>0</xdr:colOff>
      <xdr:row>0</xdr:row>
      <xdr:rowOff>0</xdr:rowOff>
    </xdr:from>
    <xdr:to>
      <xdr:col>17</xdr:col>
      <xdr:colOff>419100</xdr:colOff>
      <xdr:row>17</xdr:row>
      <xdr:rowOff>114300</xdr:rowOff>
    </xdr:to>
    <xdr:pic>
      <xdr:nvPicPr>
        <xdr:cNvPr id="672" name="ID_D8C2DC025CB94D75B054D74EF9B8A496"/>
        <xdr:cNvPicPr>
          <a:picLocks noChangeAspect="1"/>
        </xdr:cNvPicPr>
      </xdr:nvPicPr>
      <xdr:blipFill>
        <a:blip r:embed="rId276"/>
        <a:stretch>
          <a:fillRect/>
        </a:stretch>
      </xdr:blipFill>
      <xdr:spPr>
        <a:xfrm>
          <a:off x="12837795" y="170480355"/>
          <a:ext cx="12077700" cy="3190875"/>
        </a:xfrm>
        <a:prstGeom prst="rect">
          <a:avLst/>
        </a:prstGeom>
        <a:noFill/>
        <a:ln w="9525">
          <a:noFill/>
        </a:ln>
      </xdr:spPr>
    </xdr:pic>
    <xdr:clientData/>
  </xdr:twoCellAnchor>
  <xdr:twoCellAnchor editAs="oneCell">
    <xdr:from>
      <xdr:col>0</xdr:col>
      <xdr:colOff>0</xdr:colOff>
      <xdr:row>0</xdr:row>
      <xdr:rowOff>0</xdr:rowOff>
    </xdr:from>
    <xdr:to>
      <xdr:col>16</xdr:col>
      <xdr:colOff>590550</xdr:colOff>
      <xdr:row>17</xdr:row>
      <xdr:rowOff>76200</xdr:rowOff>
    </xdr:to>
    <xdr:pic>
      <xdr:nvPicPr>
        <xdr:cNvPr id="673" name="ID_AC85D0BC9CED44CA9ACFBB26BD9E496C"/>
        <xdr:cNvPicPr>
          <a:picLocks noChangeAspect="1"/>
        </xdr:cNvPicPr>
      </xdr:nvPicPr>
      <xdr:blipFill>
        <a:blip r:embed="rId277"/>
        <a:stretch>
          <a:fillRect/>
        </a:stretch>
      </xdr:blipFill>
      <xdr:spPr>
        <a:xfrm>
          <a:off x="12837795" y="179203350"/>
          <a:ext cx="11563350" cy="3152775"/>
        </a:xfrm>
        <a:prstGeom prst="rect">
          <a:avLst/>
        </a:prstGeom>
        <a:noFill/>
        <a:ln w="9525">
          <a:noFill/>
        </a:ln>
      </xdr:spPr>
    </xdr:pic>
    <xdr:clientData/>
  </xdr:twoCellAnchor>
  <xdr:twoCellAnchor editAs="oneCell">
    <xdr:from>
      <xdr:col>0</xdr:col>
      <xdr:colOff>0</xdr:colOff>
      <xdr:row>0</xdr:row>
      <xdr:rowOff>0</xdr:rowOff>
    </xdr:from>
    <xdr:to>
      <xdr:col>16</xdr:col>
      <xdr:colOff>571500</xdr:colOff>
      <xdr:row>23</xdr:row>
      <xdr:rowOff>38100</xdr:rowOff>
    </xdr:to>
    <xdr:pic>
      <xdr:nvPicPr>
        <xdr:cNvPr id="674" name="ID_CD9BDC45BF3A4405A7A94D0FD70E43A3"/>
        <xdr:cNvPicPr>
          <a:picLocks noChangeAspect="1"/>
        </xdr:cNvPicPr>
      </xdr:nvPicPr>
      <xdr:blipFill>
        <a:blip r:embed="rId278"/>
        <a:stretch>
          <a:fillRect/>
        </a:stretch>
      </xdr:blipFill>
      <xdr:spPr>
        <a:xfrm>
          <a:off x="12837795" y="179134135"/>
          <a:ext cx="11544300" cy="4200525"/>
        </a:xfrm>
        <a:prstGeom prst="rect">
          <a:avLst/>
        </a:prstGeom>
        <a:noFill/>
        <a:ln w="9525">
          <a:noFill/>
        </a:ln>
      </xdr:spPr>
    </xdr:pic>
    <xdr:clientData/>
  </xdr:twoCellAnchor>
  <xdr:twoCellAnchor editAs="oneCell">
    <xdr:from>
      <xdr:col>0</xdr:col>
      <xdr:colOff>0</xdr:colOff>
      <xdr:row>0</xdr:row>
      <xdr:rowOff>0</xdr:rowOff>
    </xdr:from>
    <xdr:to>
      <xdr:col>17</xdr:col>
      <xdr:colOff>85725</xdr:colOff>
      <xdr:row>17</xdr:row>
      <xdr:rowOff>114300</xdr:rowOff>
    </xdr:to>
    <xdr:pic>
      <xdr:nvPicPr>
        <xdr:cNvPr id="675" name="ID_CE70FAD7E7AC4E22A8ACE0E176ABFFA3"/>
        <xdr:cNvPicPr>
          <a:picLocks noChangeAspect="1"/>
        </xdr:cNvPicPr>
      </xdr:nvPicPr>
      <xdr:blipFill>
        <a:blip r:embed="rId279"/>
        <a:stretch>
          <a:fillRect/>
        </a:stretch>
      </xdr:blipFill>
      <xdr:spPr>
        <a:xfrm>
          <a:off x="12837795" y="180277135"/>
          <a:ext cx="11744325" cy="3190875"/>
        </a:xfrm>
        <a:prstGeom prst="rect">
          <a:avLst/>
        </a:prstGeom>
        <a:noFill/>
        <a:ln w="9525">
          <a:noFill/>
        </a:ln>
      </xdr:spPr>
    </xdr:pic>
    <xdr:clientData/>
  </xdr:twoCellAnchor>
  <xdr:twoCellAnchor editAs="oneCell">
    <xdr:from>
      <xdr:col>0</xdr:col>
      <xdr:colOff>0</xdr:colOff>
      <xdr:row>0</xdr:row>
      <xdr:rowOff>0</xdr:rowOff>
    </xdr:from>
    <xdr:to>
      <xdr:col>16</xdr:col>
      <xdr:colOff>514350</xdr:colOff>
      <xdr:row>16</xdr:row>
      <xdr:rowOff>95250</xdr:rowOff>
    </xdr:to>
    <xdr:pic>
      <xdr:nvPicPr>
        <xdr:cNvPr id="676" name="ID_40EAAD76E6CB447D99DA3A475EDF3D22"/>
        <xdr:cNvPicPr>
          <a:picLocks noChangeAspect="1"/>
        </xdr:cNvPicPr>
      </xdr:nvPicPr>
      <xdr:blipFill>
        <a:blip r:embed="rId280"/>
        <a:stretch>
          <a:fillRect/>
        </a:stretch>
      </xdr:blipFill>
      <xdr:spPr>
        <a:xfrm>
          <a:off x="12837795" y="215313260"/>
          <a:ext cx="11487150" cy="2990850"/>
        </a:xfrm>
        <a:prstGeom prst="rect">
          <a:avLst/>
        </a:prstGeom>
        <a:noFill/>
        <a:ln w="9525">
          <a:noFill/>
        </a:ln>
      </xdr:spPr>
    </xdr:pic>
    <xdr:clientData/>
  </xdr:twoCellAnchor>
  <xdr:twoCellAnchor editAs="oneCell">
    <xdr:from>
      <xdr:col>0</xdr:col>
      <xdr:colOff>0</xdr:colOff>
      <xdr:row>0</xdr:row>
      <xdr:rowOff>0</xdr:rowOff>
    </xdr:from>
    <xdr:to>
      <xdr:col>16</xdr:col>
      <xdr:colOff>533400</xdr:colOff>
      <xdr:row>16</xdr:row>
      <xdr:rowOff>152400</xdr:rowOff>
    </xdr:to>
    <xdr:pic>
      <xdr:nvPicPr>
        <xdr:cNvPr id="677" name="ID_AAEF28DC40B741F988419A5C605E013C"/>
        <xdr:cNvPicPr>
          <a:picLocks noChangeAspect="1"/>
        </xdr:cNvPicPr>
      </xdr:nvPicPr>
      <xdr:blipFill>
        <a:blip r:embed="rId281"/>
        <a:stretch>
          <a:fillRect/>
        </a:stretch>
      </xdr:blipFill>
      <xdr:spPr>
        <a:xfrm>
          <a:off x="12837795" y="216632155"/>
          <a:ext cx="11506200" cy="3048000"/>
        </a:xfrm>
        <a:prstGeom prst="rect">
          <a:avLst/>
        </a:prstGeom>
        <a:noFill/>
        <a:ln w="9525">
          <a:noFill/>
        </a:ln>
      </xdr:spPr>
    </xdr:pic>
    <xdr:clientData/>
  </xdr:twoCellAnchor>
  <xdr:twoCellAnchor editAs="oneCell">
    <xdr:from>
      <xdr:col>0</xdr:col>
      <xdr:colOff>0</xdr:colOff>
      <xdr:row>0</xdr:row>
      <xdr:rowOff>0</xdr:rowOff>
    </xdr:from>
    <xdr:to>
      <xdr:col>16</xdr:col>
      <xdr:colOff>504825</xdr:colOff>
      <xdr:row>16</xdr:row>
      <xdr:rowOff>152400</xdr:rowOff>
    </xdr:to>
    <xdr:pic>
      <xdr:nvPicPr>
        <xdr:cNvPr id="678" name="ID_3862BA2028D14D8E86508667C999AB79"/>
        <xdr:cNvPicPr>
          <a:picLocks noChangeAspect="1"/>
        </xdr:cNvPicPr>
      </xdr:nvPicPr>
      <xdr:blipFill>
        <a:blip r:embed="rId282"/>
        <a:stretch>
          <a:fillRect/>
        </a:stretch>
      </xdr:blipFill>
      <xdr:spPr>
        <a:xfrm>
          <a:off x="12837795" y="218914345"/>
          <a:ext cx="11477625" cy="3048000"/>
        </a:xfrm>
        <a:prstGeom prst="rect">
          <a:avLst/>
        </a:prstGeom>
        <a:noFill/>
        <a:ln w="9525">
          <a:noFill/>
        </a:ln>
      </xdr:spPr>
    </xdr:pic>
    <xdr:clientData/>
  </xdr:twoCellAnchor>
  <xdr:twoCellAnchor editAs="oneCell">
    <xdr:from>
      <xdr:col>0</xdr:col>
      <xdr:colOff>0</xdr:colOff>
      <xdr:row>0</xdr:row>
      <xdr:rowOff>0</xdr:rowOff>
    </xdr:from>
    <xdr:to>
      <xdr:col>16</xdr:col>
      <xdr:colOff>533400</xdr:colOff>
      <xdr:row>16</xdr:row>
      <xdr:rowOff>171450</xdr:rowOff>
    </xdr:to>
    <xdr:pic>
      <xdr:nvPicPr>
        <xdr:cNvPr id="679" name="ID_925407004A5140E5B3C670CA96293765"/>
        <xdr:cNvPicPr>
          <a:picLocks noChangeAspect="1"/>
        </xdr:cNvPicPr>
      </xdr:nvPicPr>
      <xdr:blipFill>
        <a:blip r:embed="rId283"/>
        <a:stretch>
          <a:fillRect/>
        </a:stretch>
      </xdr:blipFill>
      <xdr:spPr>
        <a:xfrm>
          <a:off x="12837795" y="222909130"/>
          <a:ext cx="11506200" cy="3067050"/>
        </a:xfrm>
        <a:prstGeom prst="rect">
          <a:avLst/>
        </a:prstGeom>
        <a:noFill/>
        <a:ln w="9525">
          <a:noFill/>
        </a:ln>
      </xdr:spPr>
    </xdr:pic>
    <xdr:clientData/>
  </xdr:twoCellAnchor>
  <xdr:twoCellAnchor editAs="oneCell">
    <xdr:from>
      <xdr:col>0</xdr:col>
      <xdr:colOff>0</xdr:colOff>
      <xdr:row>0</xdr:row>
      <xdr:rowOff>0</xdr:rowOff>
    </xdr:from>
    <xdr:to>
      <xdr:col>18</xdr:col>
      <xdr:colOff>514350</xdr:colOff>
      <xdr:row>16</xdr:row>
      <xdr:rowOff>123825</xdr:rowOff>
    </xdr:to>
    <xdr:pic>
      <xdr:nvPicPr>
        <xdr:cNvPr id="680" name="ID_359253887FB64D3BA5453B159E0D9D67"/>
        <xdr:cNvPicPr>
          <a:picLocks noChangeAspect="1"/>
        </xdr:cNvPicPr>
      </xdr:nvPicPr>
      <xdr:blipFill>
        <a:blip r:embed="rId284"/>
        <a:stretch>
          <a:fillRect/>
        </a:stretch>
      </xdr:blipFill>
      <xdr:spPr>
        <a:xfrm>
          <a:off x="12837795" y="246361585"/>
          <a:ext cx="12858750" cy="3019425"/>
        </a:xfrm>
        <a:prstGeom prst="rect">
          <a:avLst/>
        </a:prstGeom>
        <a:noFill/>
        <a:ln w="9525">
          <a:noFill/>
        </a:ln>
      </xdr:spPr>
    </xdr:pic>
    <xdr:clientData/>
  </xdr:twoCellAnchor>
  <xdr:twoCellAnchor editAs="oneCell">
    <xdr:from>
      <xdr:col>0</xdr:col>
      <xdr:colOff>0</xdr:colOff>
      <xdr:row>0</xdr:row>
      <xdr:rowOff>0</xdr:rowOff>
    </xdr:from>
    <xdr:to>
      <xdr:col>17</xdr:col>
      <xdr:colOff>104775</xdr:colOff>
      <xdr:row>17</xdr:row>
      <xdr:rowOff>28575</xdr:rowOff>
    </xdr:to>
    <xdr:pic>
      <xdr:nvPicPr>
        <xdr:cNvPr id="681" name="ID_EC127A875A64460198AE419FCEE84D01"/>
        <xdr:cNvPicPr>
          <a:picLocks noChangeAspect="1"/>
        </xdr:cNvPicPr>
      </xdr:nvPicPr>
      <xdr:blipFill>
        <a:blip r:embed="rId285"/>
        <a:stretch>
          <a:fillRect/>
        </a:stretch>
      </xdr:blipFill>
      <xdr:spPr>
        <a:xfrm>
          <a:off x="12837795" y="261046595"/>
          <a:ext cx="11763375" cy="3105150"/>
        </a:xfrm>
        <a:prstGeom prst="rect">
          <a:avLst/>
        </a:prstGeom>
        <a:noFill/>
        <a:ln w="9525">
          <a:noFill/>
        </a:ln>
      </xdr:spPr>
    </xdr:pic>
    <xdr:clientData/>
  </xdr:twoCellAnchor>
  <xdr:twoCellAnchor editAs="oneCell">
    <xdr:from>
      <xdr:col>0</xdr:col>
      <xdr:colOff>0</xdr:colOff>
      <xdr:row>0</xdr:row>
      <xdr:rowOff>0</xdr:rowOff>
    </xdr:from>
    <xdr:to>
      <xdr:col>17</xdr:col>
      <xdr:colOff>428625</xdr:colOff>
      <xdr:row>17</xdr:row>
      <xdr:rowOff>57150</xdr:rowOff>
    </xdr:to>
    <xdr:pic>
      <xdr:nvPicPr>
        <xdr:cNvPr id="682" name="ID_966CA3F5A60B44BEB250943E490C3894"/>
        <xdr:cNvPicPr>
          <a:picLocks noChangeAspect="1"/>
        </xdr:cNvPicPr>
      </xdr:nvPicPr>
      <xdr:blipFill>
        <a:blip r:embed="rId286"/>
        <a:stretch>
          <a:fillRect/>
        </a:stretch>
      </xdr:blipFill>
      <xdr:spPr>
        <a:xfrm>
          <a:off x="12837795" y="275012785"/>
          <a:ext cx="12087225" cy="3133725"/>
        </a:xfrm>
        <a:prstGeom prst="rect">
          <a:avLst/>
        </a:prstGeom>
        <a:noFill/>
        <a:ln w="9525">
          <a:noFill/>
        </a:ln>
      </xdr:spPr>
    </xdr:pic>
    <xdr:clientData/>
  </xdr:twoCellAnchor>
  <xdr:twoCellAnchor editAs="oneCell">
    <xdr:from>
      <xdr:col>0</xdr:col>
      <xdr:colOff>0</xdr:colOff>
      <xdr:row>0</xdr:row>
      <xdr:rowOff>0</xdr:rowOff>
    </xdr:from>
    <xdr:to>
      <xdr:col>16</xdr:col>
      <xdr:colOff>504825</xdr:colOff>
      <xdr:row>16</xdr:row>
      <xdr:rowOff>161925</xdr:rowOff>
    </xdr:to>
    <xdr:pic>
      <xdr:nvPicPr>
        <xdr:cNvPr id="683" name="ID_37DA339FE63D42BCA9BFEA6F49D76710"/>
        <xdr:cNvPicPr>
          <a:picLocks noChangeAspect="1"/>
        </xdr:cNvPicPr>
      </xdr:nvPicPr>
      <xdr:blipFill>
        <a:blip r:embed="rId287"/>
        <a:stretch>
          <a:fillRect/>
        </a:stretch>
      </xdr:blipFill>
      <xdr:spPr>
        <a:xfrm>
          <a:off x="12837795" y="275352510"/>
          <a:ext cx="11477625" cy="3057525"/>
        </a:xfrm>
        <a:prstGeom prst="rect">
          <a:avLst/>
        </a:prstGeom>
        <a:noFill/>
        <a:ln w="9525">
          <a:noFill/>
        </a:ln>
      </xdr:spPr>
    </xdr:pic>
    <xdr:clientData/>
  </xdr:twoCellAnchor>
  <xdr:twoCellAnchor editAs="oneCell">
    <xdr:from>
      <xdr:col>0</xdr:col>
      <xdr:colOff>0</xdr:colOff>
      <xdr:row>0</xdr:row>
      <xdr:rowOff>0</xdr:rowOff>
    </xdr:from>
    <xdr:to>
      <xdr:col>16</xdr:col>
      <xdr:colOff>619125</xdr:colOff>
      <xdr:row>17</xdr:row>
      <xdr:rowOff>47625</xdr:rowOff>
    </xdr:to>
    <xdr:pic>
      <xdr:nvPicPr>
        <xdr:cNvPr id="684" name="ID_47B5E14623C74538A209AC326B929115"/>
        <xdr:cNvPicPr>
          <a:picLocks noChangeAspect="1"/>
        </xdr:cNvPicPr>
      </xdr:nvPicPr>
      <xdr:blipFill>
        <a:blip r:embed="rId288"/>
        <a:stretch>
          <a:fillRect/>
        </a:stretch>
      </xdr:blipFill>
      <xdr:spPr>
        <a:xfrm>
          <a:off x="12837795" y="276114510"/>
          <a:ext cx="11591925" cy="3124200"/>
        </a:xfrm>
        <a:prstGeom prst="rect">
          <a:avLst/>
        </a:prstGeom>
        <a:noFill/>
        <a:ln w="9525">
          <a:noFill/>
        </a:ln>
      </xdr:spPr>
    </xdr:pic>
    <xdr:clientData/>
  </xdr:twoCellAnchor>
  <xdr:twoCellAnchor editAs="oneCell">
    <xdr:from>
      <xdr:col>0</xdr:col>
      <xdr:colOff>0</xdr:colOff>
      <xdr:row>0</xdr:row>
      <xdr:rowOff>0</xdr:rowOff>
    </xdr:from>
    <xdr:to>
      <xdr:col>16</xdr:col>
      <xdr:colOff>666750</xdr:colOff>
      <xdr:row>12</xdr:row>
      <xdr:rowOff>171450</xdr:rowOff>
    </xdr:to>
    <xdr:pic>
      <xdr:nvPicPr>
        <xdr:cNvPr id="685" name="ID_F1CC001D90C8483EBBA48BC11C174A78"/>
        <xdr:cNvPicPr>
          <a:picLocks noChangeAspect="1"/>
        </xdr:cNvPicPr>
      </xdr:nvPicPr>
      <xdr:blipFill>
        <a:blip r:embed="rId289"/>
        <a:stretch>
          <a:fillRect/>
        </a:stretch>
      </xdr:blipFill>
      <xdr:spPr>
        <a:xfrm>
          <a:off x="12837795" y="276876510"/>
          <a:ext cx="11639550" cy="2343150"/>
        </a:xfrm>
        <a:prstGeom prst="rect">
          <a:avLst/>
        </a:prstGeom>
        <a:noFill/>
        <a:ln w="9525">
          <a:noFill/>
        </a:ln>
      </xdr:spPr>
    </xdr:pic>
    <xdr:clientData/>
  </xdr:twoCellAnchor>
  <xdr:twoCellAnchor editAs="oneCell">
    <xdr:from>
      <xdr:col>0</xdr:col>
      <xdr:colOff>0</xdr:colOff>
      <xdr:row>0</xdr:row>
      <xdr:rowOff>0</xdr:rowOff>
    </xdr:from>
    <xdr:to>
      <xdr:col>17</xdr:col>
      <xdr:colOff>9525</xdr:colOff>
      <xdr:row>18</xdr:row>
      <xdr:rowOff>47625</xdr:rowOff>
    </xdr:to>
    <xdr:pic>
      <xdr:nvPicPr>
        <xdr:cNvPr id="686" name="ID_8A463D2C7B174C95A25F97A37F2DAA34"/>
        <xdr:cNvPicPr>
          <a:picLocks noChangeAspect="1"/>
        </xdr:cNvPicPr>
      </xdr:nvPicPr>
      <xdr:blipFill>
        <a:blip r:embed="rId290"/>
        <a:stretch>
          <a:fillRect/>
        </a:stretch>
      </xdr:blipFill>
      <xdr:spPr>
        <a:xfrm>
          <a:off x="12837795" y="280115010"/>
          <a:ext cx="11668125" cy="3305175"/>
        </a:xfrm>
        <a:prstGeom prst="rect">
          <a:avLst/>
        </a:prstGeom>
        <a:noFill/>
        <a:ln w="9525">
          <a:noFill/>
        </a:ln>
      </xdr:spPr>
    </xdr:pic>
    <xdr:clientData/>
  </xdr:twoCellAnchor>
  <xdr:twoCellAnchor editAs="oneCell">
    <xdr:from>
      <xdr:col>0</xdr:col>
      <xdr:colOff>0</xdr:colOff>
      <xdr:row>0</xdr:row>
      <xdr:rowOff>0</xdr:rowOff>
    </xdr:from>
    <xdr:to>
      <xdr:col>16</xdr:col>
      <xdr:colOff>609600</xdr:colOff>
      <xdr:row>17</xdr:row>
      <xdr:rowOff>152400</xdr:rowOff>
    </xdr:to>
    <xdr:pic>
      <xdr:nvPicPr>
        <xdr:cNvPr id="687" name="ID_3B5693C91B6146ED9CF2BFD948C51F9E"/>
        <xdr:cNvPicPr>
          <a:picLocks noChangeAspect="1"/>
        </xdr:cNvPicPr>
      </xdr:nvPicPr>
      <xdr:blipFill>
        <a:blip r:embed="rId291"/>
        <a:stretch>
          <a:fillRect/>
        </a:stretch>
      </xdr:blipFill>
      <xdr:spPr>
        <a:xfrm>
          <a:off x="12837795" y="279543510"/>
          <a:ext cx="11582400" cy="3228975"/>
        </a:xfrm>
        <a:prstGeom prst="rect">
          <a:avLst/>
        </a:prstGeom>
        <a:noFill/>
        <a:ln w="9525">
          <a:noFill/>
        </a:ln>
      </xdr:spPr>
    </xdr:pic>
    <xdr:clientData/>
  </xdr:twoCellAnchor>
  <xdr:twoCellAnchor editAs="oneCell">
    <xdr:from>
      <xdr:col>0</xdr:col>
      <xdr:colOff>0</xdr:colOff>
      <xdr:row>0</xdr:row>
      <xdr:rowOff>0</xdr:rowOff>
    </xdr:from>
    <xdr:to>
      <xdr:col>16</xdr:col>
      <xdr:colOff>600075</xdr:colOff>
      <xdr:row>17</xdr:row>
      <xdr:rowOff>114300</xdr:rowOff>
    </xdr:to>
    <xdr:pic>
      <xdr:nvPicPr>
        <xdr:cNvPr id="688" name="ID_14F350BE16B341E3BFE3CA2007F5CFA0"/>
        <xdr:cNvPicPr>
          <a:picLocks noChangeAspect="1"/>
        </xdr:cNvPicPr>
      </xdr:nvPicPr>
      <xdr:blipFill>
        <a:blip r:embed="rId292"/>
        <a:stretch>
          <a:fillRect/>
        </a:stretch>
      </xdr:blipFill>
      <xdr:spPr>
        <a:xfrm>
          <a:off x="12837795" y="278781510"/>
          <a:ext cx="11572875" cy="3190875"/>
        </a:xfrm>
        <a:prstGeom prst="rect">
          <a:avLst/>
        </a:prstGeom>
        <a:noFill/>
        <a:ln w="9525">
          <a:noFill/>
        </a:ln>
      </xdr:spPr>
    </xdr:pic>
    <xdr:clientData/>
  </xdr:twoCellAnchor>
  <xdr:twoCellAnchor editAs="oneCell">
    <xdr:from>
      <xdr:col>0</xdr:col>
      <xdr:colOff>0</xdr:colOff>
      <xdr:row>0</xdr:row>
      <xdr:rowOff>0</xdr:rowOff>
    </xdr:from>
    <xdr:to>
      <xdr:col>16</xdr:col>
      <xdr:colOff>104775</xdr:colOff>
      <xdr:row>17</xdr:row>
      <xdr:rowOff>0</xdr:rowOff>
    </xdr:to>
    <xdr:pic>
      <xdr:nvPicPr>
        <xdr:cNvPr id="689" name="ID_7061120B231447EBA4DEE1D915E6B719"/>
        <xdr:cNvPicPr>
          <a:picLocks noChangeAspect="1"/>
        </xdr:cNvPicPr>
      </xdr:nvPicPr>
      <xdr:blipFill>
        <a:blip r:embed="rId293"/>
        <a:stretch>
          <a:fillRect/>
        </a:stretch>
      </xdr:blipFill>
      <xdr:spPr>
        <a:xfrm>
          <a:off x="12837795" y="278019510"/>
          <a:ext cx="11077575" cy="3076575"/>
        </a:xfrm>
        <a:prstGeom prst="rect">
          <a:avLst/>
        </a:prstGeom>
        <a:noFill/>
        <a:ln w="9525">
          <a:noFill/>
        </a:ln>
      </xdr:spPr>
    </xdr:pic>
    <xdr:clientData/>
  </xdr:twoCellAnchor>
  <xdr:twoCellAnchor editAs="oneCell">
    <xdr:from>
      <xdr:col>0</xdr:col>
      <xdr:colOff>0</xdr:colOff>
      <xdr:row>0</xdr:row>
      <xdr:rowOff>0</xdr:rowOff>
    </xdr:from>
    <xdr:to>
      <xdr:col>16</xdr:col>
      <xdr:colOff>600075</xdr:colOff>
      <xdr:row>17</xdr:row>
      <xdr:rowOff>19050</xdr:rowOff>
    </xdr:to>
    <xdr:pic>
      <xdr:nvPicPr>
        <xdr:cNvPr id="690" name="ID_3FE33215DA734C0A80AB463C4295AD9B"/>
        <xdr:cNvPicPr>
          <a:picLocks noChangeAspect="1"/>
        </xdr:cNvPicPr>
      </xdr:nvPicPr>
      <xdr:blipFill>
        <a:blip r:embed="rId294"/>
        <a:stretch>
          <a:fillRect/>
        </a:stretch>
      </xdr:blipFill>
      <xdr:spPr>
        <a:xfrm>
          <a:off x="12837795" y="280686510"/>
          <a:ext cx="11572875" cy="3095625"/>
        </a:xfrm>
        <a:prstGeom prst="rect">
          <a:avLst/>
        </a:prstGeom>
        <a:noFill/>
        <a:ln w="9525">
          <a:noFill/>
        </a:ln>
      </xdr:spPr>
    </xdr:pic>
    <xdr:clientData/>
  </xdr:twoCellAnchor>
  <xdr:twoCellAnchor editAs="oneCell">
    <xdr:from>
      <xdr:col>0</xdr:col>
      <xdr:colOff>0</xdr:colOff>
      <xdr:row>0</xdr:row>
      <xdr:rowOff>0</xdr:rowOff>
    </xdr:from>
    <xdr:to>
      <xdr:col>16</xdr:col>
      <xdr:colOff>161925</xdr:colOff>
      <xdr:row>16</xdr:row>
      <xdr:rowOff>95250</xdr:rowOff>
    </xdr:to>
    <xdr:pic>
      <xdr:nvPicPr>
        <xdr:cNvPr id="691" name="ID_0C9D1217CE4D4639B51311307B392418"/>
        <xdr:cNvPicPr>
          <a:picLocks noChangeAspect="1"/>
        </xdr:cNvPicPr>
      </xdr:nvPicPr>
      <xdr:blipFill>
        <a:blip r:embed="rId295"/>
        <a:stretch>
          <a:fillRect/>
        </a:stretch>
      </xdr:blipFill>
      <xdr:spPr>
        <a:xfrm>
          <a:off x="12837795" y="281448510"/>
          <a:ext cx="11134725" cy="2990850"/>
        </a:xfrm>
        <a:prstGeom prst="rect">
          <a:avLst/>
        </a:prstGeom>
        <a:noFill/>
        <a:ln w="9525">
          <a:noFill/>
        </a:ln>
      </xdr:spPr>
    </xdr:pic>
    <xdr:clientData/>
  </xdr:twoCellAnchor>
  <xdr:twoCellAnchor editAs="oneCell">
    <xdr:from>
      <xdr:col>0</xdr:col>
      <xdr:colOff>0</xdr:colOff>
      <xdr:row>0</xdr:row>
      <xdr:rowOff>0</xdr:rowOff>
    </xdr:from>
    <xdr:to>
      <xdr:col>15</xdr:col>
      <xdr:colOff>409575</xdr:colOff>
      <xdr:row>16</xdr:row>
      <xdr:rowOff>85725</xdr:rowOff>
    </xdr:to>
    <xdr:pic>
      <xdr:nvPicPr>
        <xdr:cNvPr id="692" name="ID_E6637767CE6E4DEBB307D4D490023B94"/>
        <xdr:cNvPicPr>
          <a:picLocks noChangeAspect="1"/>
        </xdr:cNvPicPr>
      </xdr:nvPicPr>
      <xdr:blipFill>
        <a:blip r:embed="rId296"/>
        <a:stretch>
          <a:fillRect/>
        </a:stretch>
      </xdr:blipFill>
      <xdr:spPr>
        <a:xfrm>
          <a:off x="12837795" y="282020010"/>
          <a:ext cx="10696575" cy="2981325"/>
        </a:xfrm>
        <a:prstGeom prst="rect">
          <a:avLst/>
        </a:prstGeom>
        <a:noFill/>
        <a:ln w="9525">
          <a:noFill/>
        </a:ln>
      </xdr:spPr>
    </xdr:pic>
    <xdr:clientData/>
  </xdr:twoCellAnchor>
  <xdr:twoCellAnchor editAs="oneCell">
    <xdr:from>
      <xdr:col>0</xdr:col>
      <xdr:colOff>0</xdr:colOff>
      <xdr:row>0</xdr:row>
      <xdr:rowOff>0</xdr:rowOff>
    </xdr:from>
    <xdr:to>
      <xdr:col>15</xdr:col>
      <xdr:colOff>466725</xdr:colOff>
      <xdr:row>17</xdr:row>
      <xdr:rowOff>133350</xdr:rowOff>
    </xdr:to>
    <xdr:pic>
      <xdr:nvPicPr>
        <xdr:cNvPr id="693" name="ID_DABFE74E7C24461A857538E26EE7CB70"/>
        <xdr:cNvPicPr>
          <a:picLocks noChangeAspect="1"/>
        </xdr:cNvPicPr>
      </xdr:nvPicPr>
      <xdr:blipFill>
        <a:blip r:embed="rId297"/>
        <a:stretch>
          <a:fillRect/>
        </a:stretch>
      </xdr:blipFill>
      <xdr:spPr>
        <a:xfrm>
          <a:off x="12837795" y="282591510"/>
          <a:ext cx="10753725" cy="3209925"/>
        </a:xfrm>
        <a:prstGeom prst="rect">
          <a:avLst/>
        </a:prstGeom>
        <a:noFill/>
        <a:ln w="9525">
          <a:noFill/>
        </a:ln>
      </xdr:spPr>
    </xdr:pic>
    <xdr:clientData/>
  </xdr:twoCellAnchor>
  <xdr:twoCellAnchor editAs="oneCell">
    <xdr:from>
      <xdr:col>0</xdr:col>
      <xdr:colOff>0</xdr:colOff>
      <xdr:row>0</xdr:row>
      <xdr:rowOff>0</xdr:rowOff>
    </xdr:from>
    <xdr:to>
      <xdr:col>15</xdr:col>
      <xdr:colOff>581025</xdr:colOff>
      <xdr:row>17</xdr:row>
      <xdr:rowOff>171450</xdr:rowOff>
    </xdr:to>
    <xdr:pic>
      <xdr:nvPicPr>
        <xdr:cNvPr id="694" name="ID_E5C46C770C6A4434AD0378A59BC39BDB"/>
        <xdr:cNvPicPr>
          <a:picLocks noChangeAspect="1"/>
        </xdr:cNvPicPr>
      </xdr:nvPicPr>
      <xdr:blipFill>
        <a:blip r:embed="rId298"/>
        <a:stretch>
          <a:fillRect/>
        </a:stretch>
      </xdr:blipFill>
      <xdr:spPr>
        <a:xfrm>
          <a:off x="12837795" y="283163010"/>
          <a:ext cx="10868025" cy="3248025"/>
        </a:xfrm>
        <a:prstGeom prst="rect">
          <a:avLst/>
        </a:prstGeom>
        <a:noFill/>
        <a:ln w="9525">
          <a:noFill/>
        </a:ln>
      </xdr:spPr>
    </xdr:pic>
    <xdr:clientData/>
  </xdr:twoCellAnchor>
  <xdr:twoCellAnchor editAs="oneCell">
    <xdr:from>
      <xdr:col>0</xdr:col>
      <xdr:colOff>0</xdr:colOff>
      <xdr:row>0</xdr:row>
      <xdr:rowOff>0</xdr:rowOff>
    </xdr:from>
    <xdr:to>
      <xdr:col>15</xdr:col>
      <xdr:colOff>400050</xdr:colOff>
      <xdr:row>17</xdr:row>
      <xdr:rowOff>19050</xdr:rowOff>
    </xdr:to>
    <xdr:pic>
      <xdr:nvPicPr>
        <xdr:cNvPr id="695" name="ID_BE73191C80C74120A76DB73F367C27AA"/>
        <xdr:cNvPicPr>
          <a:picLocks noChangeAspect="1"/>
        </xdr:cNvPicPr>
      </xdr:nvPicPr>
      <xdr:blipFill>
        <a:blip r:embed="rId299"/>
        <a:stretch>
          <a:fillRect/>
        </a:stretch>
      </xdr:blipFill>
      <xdr:spPr>
        <a:xfrm>
          <a:off x="12837795" y="283734510"/>
          <a:ext cx="10687050" cy="3095625"/>
        </a:xfrm>
        <a:prstGeom prst="rect">
          <a:avLst/>
        </a:prstGeom>
        <a:noFill/>
        <a:ln w="9525">
          <a:noFill/>
        </a:ln>
      </xdr:spPr>
    </xdr:pic>
    <xdr:clientData/>
  </xdr:twoCellAnchor>
  <xdr:twoCellAnchor editAs="oneCell">
    <xdr:from>
      <xdr:col>0</xdr:col>
      <xdr:colOff>0</xdr:colOff>
      <xdr:row>0</xdr:row>
      <xdr:rowOff>0</xdr:rowOff>
    </xdr:from>
    <xdr:to>
      <xdr:col>16</xdr:col>
      <xdr:colOff>161925</xdr:colOff>
      <xdr:row>17</xdr:row>
      <xdr:rowOff>57150</xdr:rowOff>
    </xdr:to>
    <xdr:pic>
      <xdr:nvPicPr>
        <xdr:cNvPr id="696" name="ID_8E41760F66C042A9A834FA64217431C6"/>
        <xdr:cNvPicPr>
          <a:picLocks noChangeAspect="1"/>
        </xdr:cNvPicPr>
      </xdr:nvPicPr>
      <xdr:blipFill>
        <a:blip r:embed="rId300"/>
        <a:stretch>
          <a:fillRect/>
        </a:stretch>
      </xdr:blipFill>
      <xdr:spPr>
        <a:xfrm>
          <a:off x="12837795" y="284306010"/>
          <a:ext cx="11134725" cy="3133725"/>
        </a:xfrm>
        <a:prstGeom prst="rect">
          <a:avLst/>
        </a:prstGeom>
        <a:noFill/>
        <a:ln w="9525">
          <a:noFill/>
        </a:ln>
      </xdr:spPr>
    </xdr:pic>
    <xdr:clientData/>
  </xdr:twoCellAnchor>
  <xdr:twoCellAnchor editAs="oneCell">
    <xdr:from>
      <xdr:col>0</xdr:col>
      <xdr:colOff>0</xdr:colOff>
      <xdr:row>0</xdr:row>
      <xdr:rowOff>0</xdr:rowOff>
    </xdr:from>
    <xdr:to>
      <xdr:col>16</xdr:col>
      <xdr:colOff>200025</xdr:colOff>
      <xdr:row>18</xdr:row>
      <xdr:rowOff>38100</xdr:rowOff>
    </xdr:to>
    <xdr:pic>
      <xdr:nvPicPr>
        <xdr:cNvPr id="697" name="ID_12EB44FE525A4705B375991F1DBB49B2"/>
        <xdr:cNvPicPr>
          <a:picLocks noChangeAspect="1"/>
        </xdr:cNvPicPr>
      </xdr:nvPicPr>
      <xdr:blipFill>
        <a:blip r:embed="rId301"/>
        <a:stretch>
          <a:fillRect/>
        </a:stretch>
      </xdr:blipFill>
      <xdr:spPr>
        <a:xfrm>
          <a:off x="12837795" y="284877510"/>
          <a:ext cx="11172825" cy="3295650"/>
        </a:xfrm>
        <a:prstGeom prst="rect">
          <a:avLst/>
        </a:prstGeom>
        <a:noFill/>
        <a:ln w="9525">
          <a:noFill/>
        </a:ln>
      </xdr:spPr>
    </xdr:pic>
    <xdr:clientData/>
  </xdr:twoCellAnchor>
  <xdr:twoCellAnchor editAs="oneCell">
    <xdr:from>
      <xdr:col>0</xdr:col>
      <xdr:colOff>0</xdr:colOff>
      <xdr:row>0</xdr:row>
      <xdr:rowOff>0</xdr:rowOff>
    </xdr:from>
    <xdr:to>
      <xdr:col>15</xdr:col>
      <xdr:colOff>314325</xdr:colOff>
      <xdr:row>16</xdr:row>
      <xdr:rowOff>152400</xdr:rowOff>
    </xdr:to>
    <xdr:pic>
      <xdr:nvPicPr>
        <xdr:cNvPr id="698" name="ID_ACE8E45A5C2E408CBAE160AC2C50D20F"/>
        <xdr:cNvPicPr>
          <a:picLocks noChangeAspect="1"/>
        </xdr:cNvPicPr>
      </xdr:nvPicPr>
      <xdr:blipFill>
        <a:blip r:embed="rId302"/>
        <a:stretch>
          <a:fillRect/>
        </a:stretch>
      </xdr:blipFill>
      <xdr:spPr>
        <a:xfrm>
          <a:off x="12837795" y="285449010"/>
          <a:ext cx="10601325" cy="3048000"/>
        </a:xfrm>
        <a:prstGeom prst="rect">
          <a:avLst/>
        </a:prstGeom>
        <a:noFill/>
        <a:ln w="9525">
          <a:noFill/>
        </a:ln>
      </xdr:spPr>
    </xdr:pic>
    <xdr:clientData/>
  </xdr:twoCellAnchor>
  <xdr:twoCellAnchor editAs="oneCell">
    <xdr:from>
      <xdr:col>0</xdr:col>
      <xdr:colOff>0</xdr:colOff>
      <xdr:row>0</xdr:row>
      <xdr:rowOff>0</xdr:rowOff>
    </xdr:from>
    <xdr:to>
      <xdr:col>15</xdr:col>
      <xdr:colOff>381000</xdr:colOff>
      <xdr:row>16</xdr:row>
      <xdr:rowOff>133350</xdr:rowOff>
    </xdr:to>
    <xdr:pic>
      <xdr:nvPicPr>
        <xdr:cNvPr id="699" name="ID_CCEC1A4FCAFF401FAC4F855AA0AB5D43"/>
        <xdr:cNvPicPr>
          <a:picLocks noChangeAspect="1"/>
        </xdr:cNvPicPr>
      </xdr:nvPicPr>
      <xdr:blipFill>
        <a:blip r:embed="rId303"/>
        <a:stretch>
          <a:fillRect/>
        </a:stretch>
      </xdr:blipFill>
      <xdr:spPr>
        <a:xfrm>
          <a:off x="12837795" y="286020510"/>
          <a:ext cx="10668000" cy="3028950"/>
        </a:xfrm>
        <a:prstGeom prst="rect">
          <a:avLst/>
        </a:prstGeom>
        <a:noFill/>
        <a:ln w="9525">
          <a:noFill/>
        </a:ln>
      </xdr:spPr>
    </xdr:pic>
    <xdr:clientData/>
  </xdr:twoCellAnchor>
  <xdr:twoCellAnchor editAs="oneCell">
    <xdr:from>
      <xdr:col>0</xdr:col>
      <xdr:colOff>0</xdr:colOff>
      <xdr:row>0</xdr:row>
      <xdr:rowOff>0</xdr:rowOff>
    </xdr:from>
    <xdr:to>
      <xdr:col>15</xdr:col>
      <xdr:colOff>523875</xdr:colOff>
      <xdr:row>8</xdr:row>
      <xdr:rowOff>38100</xdr:rowOff>
    </xdr:to>
    <xdr:pic>
      <xdr:nvPicPr>
        <xdr:cNvPr id="700" name="ID_FDE982E89A6E4E558B5E2745BCC347C6"/>
        <xdr:cNvPicPr>
          <a:picLocks noChangeAspect="1"/>
        </xdr:cNvPicPr>
      </xdr:nvPicPr>
      <xdr:blipFill>
        <a:blip r:embed="rId304"/>
        <a:stretch>
          <a:fillRect/>
        </a:stretch>
      </xdr:blipFill>
      <xdr:spPr>
        <a:xfrm>
          <a:off x="12837795" y="286782510"/>
          <a:ext cx="10810875" cy="1485900"/>
        </a:xfrm>
        <a:prstGeom prst="rect">
          <a:avLst/>
        </a:prstGeom>
        <a:noFill/>
        <a:ln w="9525">
          <a:noFill/>
        </a:ln>
      </xdr:spPr>
    </xdr:pic>
    <xdr:clientData/>
  </xdr:twoCellAnchor>
  <xdr:twoCellAnchor editAs="oneCell">
    <xdr:from>
      <xdr:col>0</xdr:col>
      <xdr:colOff>0</xdr:colOff>
      <xdr:row>0</xdr:row>
      <xdr:rowOff>0</xdr:rowOff>
    </xdr:from>
    <xdr:to>
      <xdr:col>15</xdr:col>
      <xdr:colOff>133350</xdr:colOff>
      <xdr:row>17</xdr:row>
      <xdr:rowOff>57150</xdr:rowOff>
    </xdr:to>
    <xdr:pic>
      <xdr:nvPicPr>
        <xdr:cNvPr id="701" name="ID_F81BA1F9629B474AB2266483BBF90EF3"/>
        <xdr:cNvPicPr>
          <a:picLocks noChangeAspect="1"/>
        </xdr:cNvPicPr>
      </xdr:nvPicPr>
      <xdr:blipFill>
        <a:blip r:embed="rId305"/>
        <a:stretch>
          <a:fillRect/>
        </a:stretch>
      </xdr:blipFill>
      <xdr:spPr>
        <a:xfrm>
          <a:off x="12837795" y="287735010"/>
          <a:ext cx="10420350" cy="3133725"/>
        </a:xfrm>
        <a:prstGeom prst="rect">
          <a:avLst/>
        </a:prstGeom>
        <a:noFill/>
        <a:ln w="9525">
          <a:noFill/>
        </a:ln>
      </xdr:spPr>
    </xdr:pic>
    <xdr:clientData/>
  </xdr:twoCellAnchor>
  <xdr:twoCellAnchor editAs="oneCell">
    <xdr:from>
      <xdr:col>0</xdr:col>
      <xdr:colOff>0</xdr:colOff>
      <xdr:row>0</xdr:row>
      <xdr:rowOff>0</xdr:rowOff>
    </xdr:from>
    <xdr:to>
      <xdr:col>15</xdr:col>
      <xdr:colOff>152400</xdr:colOff>
      <xdr:row>17</xdr:row>
      <xdr:rowOff>123825</xdr:rowOff>
    </xdr:to>
    <xdr:pic>
      <xdr:nvPicPr>
        <xdr:cNvPr id="702" name="ID_2D1B16361218421484F08E2CDBBF9476"/>
        <xdr:cNvPicPr>
          <a:picLocks noChangeAspect="1"/>
        </xdr:cNvPicPr>
      </xdr:nvPicPr>
      <xdr:blipFill>
        <a:blip r:embed="rId306"/>
        <a:stretch>
          <a:fillRect/>
        </a:stretch>
      </xdr:blipFill>
      <xdr:spPr>
        <a:xfrm>
          <a:off x="12837795" y="288306510"/>
          <a:ext cx="10439400" cy="3200400"/>
        </a:xfrm>
        <a:prstGeom prst="rect">
          <a:avLst/>
        </a:prstGeom>
        <a:noFill/>
        <a:ln w="9525">
          <a:noFill/>
        </a:ln>
      </xdr:spPr>
    </xdr:pic>
    <xdr:clientData/>
  </xdr:twoCellAnchor>
  <xdr:twoCellAnchor editAs="oneCell">
    <xdr:from>
      <xdr:col>0</xdr:col>
      <xdr:colOff>0</xdr:colOff>
      <xdr:row>0</xdr:row>
      <xdr:rowOff>0</xdr:rowOff>
    </xdr:from>
    <xdr:to>
      <xdr:col>15</xdr:col>
      <xdr:colOff>47625</xdr:colOff>
      <xdr:row>17</xdr:row>
      <xdr:rowOff>9525</xdr:rowOff>
    </xdr:to>
    <xdr:pic>
      <xdr:nvPicPr>
        <xdr:cNvPr id="703" name="ID_A90096CEB357487A9F9616BF38D77840"/>
        <xdr:cNvPicPr>
          <a:picLocks noChangeAspect="1"/>
        </xdr:cNvPicPr>
      </xdr:nvPicPr>
      <xdr:blipFill>
        <a:blip r:embed="rId307"/>
        <a:stretch>
          <a:fillRect/>
        </a:stretch>
      </xdr:blipFill>
      <xdr:spPr>
        <a:xfrm>
          <a:off x="12837795" y="289068510"/>
          <a:ext cx="10334625" cy="3086100"/>
        </a:xfrm>
        <a:prstGeom prst="rect">
          <a:avLst/>
        </a:prstGeom>
        <a:noFill/>
        <a:ln w="9525">
          <a:noFill/>
        </a:ln>
      </xdr:spPr>
    </xdr:pic>
    <xdr:clientData/>
  </xdr:twoCellAnchor>
  <xdr:twoCellAnchor editAs="oneCell">
    <xdr:from>
      <xdr:col>0</xdr:col>
      <xdr:colOff>0</xdr:colOff>
      <xdr:row>0</xdr:row>
      <xdr:rowOff>0</xdr:rowOff>
    </xdr:from>
    <xdr:to>
      <xdr:col>15</xdr:col>
      <xdr:colOff>180975</xdr:colOff>
      <xdr:row>9</xdr:row>
      <xdr:rowOff>152400</xdr:rowOff>
    </xdr:to>
    <xdr:pic>
      <xdr:nvPicPr>
        <xdr:cNvPr id="704" name="ID_5E01A176F04E48A79539AA55F5A624C0"/>
        <xdr:cNvPicPr>
          <a:picLocks noChangeAspect="1"/>
        </xdr:cNvPicPr>
      </xdr:nvPicPr>
      <xdr:blipFill>
        <a:blip r:embed="rId308"/>
        <a:stretch>
          <a:fillRect/>
        </a:stretch>
      </xdr:blipFill>
      <xdr:spPr>
        <a:xfrm>
          <a:off x="12837795" y="289830510"/>
          <a:ext cx="10467975" cy="1781175"/>
        </a:xfrm>
        <a:prstGeom prst="rect">
          <a:avLst/>
        </a:prstGeom>
        <a:noFill/>
        <a:ln w="9525">
          <a:noFill/>
        </a:ln>
      </xdr:spPr>
    </xdr:pic>
    <xdr:clientData/>
  </xdr:twoCellAnchor>
  <xdr:twoCellAnchor editAs="oneCell">
    <xdr:from>
      <xdr:col>0</xdr:col>
      <xdr:colOff>0</xdr:colOff>
      <xdr:row>0</xdr:row>
      <xdr:rowOff>0</xdr:rowOff>
    </xdr:from>
    <xdr:to>
      <xdr:col>15</xdr:col>
      <xdr:colOff>76200</xdr:colOff>
      <xdr:row>7</xdr:row>
      <xdr:rowOff>104775</xdr:rowOff>
    </xdr:to>
    <xdr:pic>
      <xdr:nvPicPr>
        <xdr:cNvPr id="705" name="ID_0DBCE16867A04815AAB59538705E8D20"/>
        <xdr:cNvPicPr>
          <a:picLocks noChangeAspect="1"/>
        </xdr:cNvPicPr>
      </xdr:nvPicPr>
      <xdr:blipFill>
        <a:blip r:embed="rId309"/>
        <a:stretch>
          <a:fillRect/>
        </a:stretch>
      </xdr:blipFill>
      <xdr:spPr>
        <a:xfrm>
          <a:off x="12837795" y="291545010"/>
          <a:ext cx="10363200" cy="1371600"/>
        </a:xfrm>
        <a:prstGeom prst="rect">
          <a:avLst/>
        </a:prstGeom>
        <a:noFill/>
        <a:ln w="9525">
          <a:noFill/>
        </a:ln>
      </xdr:spPr>
    </xdr:pic>
    <xdr:clientData/>
  </xdr:twoCellAnchor>
  <xdr:twoCellAnchor editAs="oneCell">
    <xdr:from>
      <xdr:col>0</xdr:col>
      <xdr:colOff>0</xdr:colOff>
      <xdr:row>0</xdr:row>
      <xdr:rowOff>0</xdr:rowOff>
    </xdr:from>
    <xdr:to>
      <xdr:col>15</xdr:col>
      <xdr:colOff>47625</xdr:colOff>
      <xdr:row>9</xdr:row>
      <xdr:rowOff>28575</xdr:rowOff>
    </xdr:to>
    <xdr:pic>
      <xdr:nvPicPr>
        <xdr:cNvPr id="707" name="ID_6D769586D49445EABC08214CF2A250F6"/>
        <xdr:cNvPicPr>
          <a:picLocks noChangeAspect="1"/>
        </xdr:cNvPicPr>
      </xdr:nvPicPr>
      <xdr:blipFill>
        <a:blip r:embed="rId310"/>
        <a:stretch>
          <a:fillRect/>
        </a:stretch>
      </xdr:blipFill>
      <xdr:spPr>
        <a:xfrm>
          <a:off x="12969240" y="293497635"/>
          <a:ext cx="10334625" cy="1657350"/>
        </a:xfrm>
        <a:prstGeom prst="rect">
          <a:avLst/>
        </a:prstGeom>
        <a:noFill/>
        <a:ln w="9525">
          <a:noFill/>
        </a:ln>
      </xdr:spPr>
    </xdr:pic>
    <xdr:clientData/>
  </xdr:twoCellAnchor>
  <xdr:twoCellAnchor editAs="oneCell">
    <xdr:from>
      <xdr:col>0</xdr:col>
      <xdr:colOff>0</xdr:colOff>
      <xdr:row>0</xdr:row>
      <xdr:rowOff>0</xdr:rowOff>
    </xdr:from>
    <xdr:to>
      <xdr:col>15</xdr:col>
      <xdr:colOff>66675</xdr:colOff>
      <xdr:row>8</xdr:row>
      <xdr:rowOff>114300</xdr:rowOff>
    </xdr:to>
    <xdr:pic>
      <xdr:nvPicPr>
        <xdr:cNvPr id="708" name="ID_84CF186DFB994A5594AA3526FEBABA99"/>
        <xdr:cNvPicPr>
          <a:picLocks noChangeAspect="1"/>
        </xdr:cNvPicPr>
      </xdr:nvPicPr>
      <xdr:blipFill>
        <a:blip r:embed="rId311"/>
        <a:stretch>
          <a:fillRect/>
        </a:stretch>
      </xdr:blipFill>
      <xdr:spPr>
        <a:xfrm>
          <a:off x="12837795" y="295736010"/>
          <a:ext cx="10353675" cy="1562100"/>
        </a:xfrm>
        <a:prstGeom prst="rect">
          <a:avLst/>
        </a:prstGeom>
        <a:noFill/>
        <a:ln w="9525">
          <a:noFill/>
        </a:ln>
      </xdr:spPr>
    </xdr:pic>
    <xdr:clientData/>
  </xdr:twoCellAnchor>
  <xdr:twoCellAnchor editAs="oneCell">
    <xdr:from>
      <xdr:col>0</xdr:col>
      <xdr:colOff>0</xdr:colOff>
      <xdr:row>0</xdr:row>
      <xdr:rowOff>0</xdr:rowOff>
    </xdr:from>
    <xdr:to>
      <xdr:col>14</xdr:col>
      <xdr:colOff>666750</xdr:colOff>
      <xdr:row>14</xdr:row>
      <xdr:rowOff>123825</xdr:rowOff>
    </xdr:to>
    <xdr:pic>
      <xdr:nvPicPr>
        <xdr:cNvPr id="709" name="ID_2C9B56A7D8F14B5F950DAD09580799A1"/>
        <xdr:cNvPicPr>
          <a:picLocks noChangeAspect="1"/>
        </xdr:cNvPicPr>
      </xdr:nvPicPr>
      <xdr:blipFill>
        <a:blip r:embed="rId312"/>
        <a:stretch>
          <a:fillRect/>
        </a:stretch>
      </xdr:blipFill>
      <xdr:spPr>
        <a:xfrm>
          <a:off x="12837795" y="297831510"/>
          <a:ext cx="10267950" cy="2657475"/>
        </a:xfrm>
        <a:prstGeom prst="rect">
          <a:avLst/>
        </a:prstGeom>
        <a:noFill/>
        <a:ln w="9525">
          <a:noFill/>
        </a:ln>
      </xdr:spPr>
    </xdr:pic>
    <xdr:clientData/>
  </xdr:twoCellAnchor>
  <xdr:twoCellAnchor editAs="oneCell">
    <xdr:from>
      <xdr:col>0</xdr:col>
      <xdr:colOff>0</xdr:colOff>
      <xdr:row>0</xdr:row>
      <xdr:rowOff>0</xdr:rowOff>
    </xdr:from>
    <xdr:to>
      <xdr:col>15</xdr:col>
      <xdr:colOff>38100</xdr:colOff>
      <xdr:row>9</xdr:row>
      <xdr:rowOff>171450</xdr:rowOff>
    </xdr:to>
    <xdr:pic>
      <xdr:nvPicPr>
        <xdr:cNvPr id="710" name="ID_84FFA6F8A7D54DF3AB96E93495FD7DCB"/>
        <xdr:cNvPicPr>
          <a:picLocks noChangeAspect="1"/>
        </xdr:cNvPicPr>
      </xdr:nvPicPr>
      <xdr:blipFill>
        <a:blip r:embed="rId313"/>
        <a:stretch>
          <a:fillRect/>
        </a:stretch>
      </xdr:blipFill>
      <xdr:spPr>
        <a:xfrm>
          <a:off x="12837795" y="303165510"/>
          <a:ext cx="10325100" cy="1800225"/>
        </a:xfrm>
        <a:prstGeom prst="rect">
          <a:avLst/>
        </a:prstGeom>
        <a:noFill/>
        <a:ln w="9525">
          <a:noFill/>
        </a:ln>
      </xdr:spPr>
    </xdr:pic>
    <xdr:clientData/>
  </xdr:twoCellAnchor>
  <xdr:twoCellAnchor editAs="oneCell">
    <xdr:from>
      <xdr:col>0</xdr:col>
      <xdr:colOff>0</xdr:colOff>
      <xdr:row>0</xdr:row>
      <xdr:rowOff>0</xdr:rowOff>
    </xdr:from>
    <xdr:to>
      <xdr:col>15</xdr:col>
      <xdr:colOff>123825</xdr:colOff>
      <xdr:row>10</xdr:row>
      <xdr:rowOff>85725</xdr:rowOff>
    </xdr:to>
    <xdr:pic>
      <xdr:nvPicPr>
        <xdr:cNvPr id="711" name="ID_38AC7990EACB49D49DD25FCFA9E18E32"/>
        <xdr:cNvPicPr>
          <a:picLocks noChangeAspect="1"/>
        </xdr:cNvPicPr>
      </xdr:nvPicPr>
      <xdr:blipFill>
        <a:blip r:embed="rId314"/>
        <a:stretch>
          <a:fillRect/>
        </a:stretch>
      </xdr:blipFill>
      <xdr:spPr>
        <a:xfrm>
          <a:off x="12837795" y="301260510"/>
          <a:ext cx="10410825" cy="1895475"/>
        </a:xfrm>
        <a:prstGeom prst="rect">
          <a:avLst/>
        </a:prstGeom>
        <a:noFill/>
        <a:ln w="9525">
          <a:noFill/>
        </a:ln>
      </xdr:spPr>
    </xdr:pic>
    <xdr:clientData/>
  </xdr:twoCellAnchor>
  <xdr:twoCellAnchor editAs="oneCell">
    <xdr:from>
      <xdr:col>0</xdr:col>
      <xdr:colOff>0</xdr:colOff>
      <xdr:row>0</xdr:row>
      <xdr:rowOff>0</xdr:rowOff>
    </xdr:from>
    <xdr:to>
      <xdr:col>7</xdr:col>
      <xdr:colOff>162560</xdr:colOff>
      <xdr:row>22</xdr:row>
      <xdr:rowOff>5715</xdr:rowOff>
    </xdr:to>
    <xdr:pic>
      <xdr:nvPicPr>
        <xdr:cNvPr id="712" name="ID_6EF2C11E7D4549848034D6C269B1496C"/>
        <xdr:cNvPicPr>
          <a:picLocks noChangeAspect="1"/>
        </xdr:cNvPicPr>
      </xdr:nvPicPr>
      <xdr:blipFill>
        <a:blip r:embed="rId315"/>
        <a:stretch>
          <a:fillRect/>
        </a:stretch>
      </xdr:blipFill>
      <xdr:spPr>
        <a:xfrm>
          <a:off x="22579965" y="186371865"/>
          <a:ext cx="4963160" cy="3987165"/>
        </a:xfrm>
        <a:prstGeom prst="rect">
          <a:avLst/>
        </a:prstGeom>
        <a:noFill/>
        <a:ln w="9525">
          <a:noFill/>
        </a:ln>
      </xdr:spPr>
    </xdr:pic>
    <xdr:clientData/>
  </xdr:twoCellAnchor>
  <xdr:twoCellAnchor editAs="oneCell">
    <xdr:from>
      <xdr:col>0</xdr:col>
      <xdr:colOff>0</xdr:colOff>
      <xdr:row>0</xdr:row>
      <xdr:rowOff>0</xdr:rowOff>
    </xdr:from>
    <xdr:to>
      <xdr:col>11</xdr:col>
      <xdr:colOff>47625</xdr:colOff>
      <xdr:row>15</xdr:row>
      <xdr:rowOff>85725</xdr:rowOff>
    </xdr:to>
    <xdr:pic>
      <xdr:nvPicPr>
        <xdr:cNvPr id="713" name="ID_3823C852630C45D48F859A7C07C8AA4A"/>
        <xdr:cNvPicPr>
          <a:picLocks noChangeAspect="1"/>
        </xdr:cNvPicPr>
      </xdr:nvPicPr>
      <xdr:blipFill>
        <a:blip r:embed="rId316"/>
        <a:stretch>
          <a:fillRect/>
        </a:stretch>
      </xdr:blipFill>
      <xdr:spPr>
        <a:xfrm>
          <a:off x="26077545" y="186371865"/>
          <a:ext cx="7591425" cy="2800350"/>
        </a:xfrm>
        <a:prstGeom prst="rect">
          <a:avLst/>
        </a:prstGeom>
        <a:noFill/>
        <a:ln w="9525">
          <a:noFill/>
        </a:ln>
      </xdr:spPr>
    </xdr:pic>
    <xdr:clientData/>
  </xdr:twoCellAnchor>
  <xdr:twoCellAnchor editAs="oneCell">
    <xdr:from>
      <xdr:col>0</xdr:col>
      <xdr:colOff>0</xdr:colOff>
      <xdr:row>0</xdr:row>
      <xdr:rowOff>0</xdr:rowOff>
    </xdr:from>
    <xdr:to>
      <xdr:col>12</xdr:col>
      <xdr:colOff>609600</xdr:colOff>
      <xdr:row>12</xdr:row>
      <xdr:rowOff>66675</xdr:rowOff>
    </xdr:to>
    <xdr:pic>
      <xdr:nvPicPr>
        <xdr:cNvPr id="714" name="ID_EACD59F7526D44A28BD4355429622C52"/>
        <xdr:cNvPicPr>
          <a:picLocks noChangeAspect="1"/>
        </xdr:cNvPicPr>
      </xdr:nvPicPr>
      <xdr:blipFill>
        <a:blip r:embed="rId317"/>
        <a:stretch>
          <a:fillRect/>
        </a:stretch>
      </xdr:blipFill>
      <xdr:spPr>
        <a:xfrm>
          <a:off x="19424650" y="2628900"/>
          <a:ext cx="8839200" cy="2238375"/>
        </a:xfrm>
        <a:prstGeom prst="rect">
          <a:avLst/>
        </a:prstGeom>
        <a:noFill/>
        <a:ln w="9525">
          <a:noFill/>
        </a:ln>
      </xdr:spPr>
    </xdr:pic>
    <xdr:clientData/>
  </xdr:twoCellAnchor>
  <xdr:twoCellAnchor editAs="oneCell">
    <xdr:from>
      <xdr:col>0</xdr:col>
      <xdr:colOff>0</xdr:colOff>
      <xdr:row>0</xdr:row>
      <xdr:rowOff>0</xdr:rowOff>
    </xdr:from>
    <xdr:to>
      <xdr:col>13</xdr:col>
      <xdr:colOff>47625</xdr:colOff>
      <xdr:row>11</xdr:row>
      <xdr:rowOff>66675</xdr:rowOff>
    </xdr:to>
    <xdr:pic>
      <xdr:nvPicPr>
        <xdr:cNvPr id="715" name="ID_37375C8A8C7243028533EDA682BAD271"/>
        <xdr:cNvPicPr>
          <a:picLocks noChangeAspect="1"/>
        </xdr:cNvPicPr>
      </xdr:nvPicPr>
      <xdr:blipFill>
        <a:blip r:embed="rId318"/>
        <a:stretch>
          <a:fillRect/>
        </a:stretch>
      </xdr:blipFill>
      <xdr:spPr>
        <a:xfrm>
          <a:off x="19424650" y="12268200"/>
          <a:ext cx="8963025" cy="2057400"/>
        </a:xfrm>
        <a:prstGeom prst="rect">
          <a:avLst/>
        </a:prstGeom>
        <a:noFill/>
        <a:ln w="9525">
          <a:noFill/>
        </a:ln>
      </xdr:spPr>
    </xdr:pic>
    <xdr:clientData/>
  </xdr:twoCellAnchor>
  <xdr:twoCellAnchor editAs="oneCell">
    <xdr:from>
      <xdr:col>0</xdr:col>
      <xdr:colOff>0</xdr:colOff>
      <xdr:row>0</xdr:row>
      <xdr:rowOff>0</xdr:rowOff>
    </xdr:from>
    <xdr:to>
      <xdr:col>13</xdr:col>
      <xdr:colOff>9525</xdr:colOff>
      <xdr:row>16</xdr:row>
      <xdr:rowOff>19050</xdr:rowOff>
    </xdr:to>
    <xdr:pic>
      <xdr:nvPicPr>
        <xdr:cNvPr id="716" name="ID_7A46CB4FD70D48DA99753B117AE7C792"/>
        <xdr:cNvPicPr>
          <a:picLocks noChangeAspect="1"/>
        </xdr:cNvPicPr>
      </xdr:nvPicPr>
      <xdr:blipFill>
        <a:blip r:embed="rId319"/>
        <a:stretch>
          <a:fillRect/>
        </a:stretch>
      </xdr:blipFill>
      <xdr:spPr>
        <a:xfrm>
          <a:off x="19424650" y="1162050"/>
          <a:ext cx="8924925" cy="2914650"/>
        </a:xfrm>
        <a:prstGeom prst="rect">
          <a:avLst/>
        </a:prstGeom>
        <a:noFill/>
        <a:ln w="9525">
          <a:noFill/>
        </a:ln>
      </xdr:spPr>
    </xdr:pic>
    <xdr:clientData/>
  </xdr:twoCellAnchor>
  <xdr:twoCellAnchor editAs="oneCell">
    <xdr:from>
      <xdr:col>0</xdr:col>
      <xdr:colOff>0</xdr:colOff>
      <xdr:row>0</xdr:row>
      <xdr:rowOff>0</xdr:rowOff>
    </xdr:from>
    <xdr:to>
      <xdr:col>12</xdr:col>
      <xdr:colOff>676275</xdr:colOff>
      <xdr:row>15</xdr:row>
      <xdr:rowOff>123825</xdr:rowOff>
    </xdr:to>
    <xdr:pic>
      <xdr:nvPicPr>
        <xdr:cNvPr id="717" name="ID_7C02909993D8463C8C291730F8A026F3"/>
        <xdr:cNvPicPr>
          <a:picLocks noChangeAspect="1"/>
        </xdr:cNvPicPr>
      </xdr:nvPicPr>
      <xdr:blipFill>
        <a:blip r:embed="rId320"/>
        <a:stretch>
          <a:fillRect/>
        </a:stretch>
      </xdr:blipFill>
      <xdr:spPr>
        <a:xfrm>
          <a:off x="19424650" y="1790700"/>
          <a:ext cx="8905875" cy="2838450"/>
        </a:xfrm>
        <a:prstGeom prst="rect">
          <a:avLst/>
        </a:prstGeom>
        <a:noFill/>
        <a:ln w="9525">
          <a:noFill/>
        </a:ln>
      </xdr:spPr>
    </xdr:pic>
    <xdr:clientData/>
  </xdr:twoCellAnchor>
  <xdr:twoCellAnchor editAs="oneCell">
    <xdr:from>
      <xdr:col>0</xdr:col>
      <xdr:colOff>0</xdr:colOff>
      <xdr:row>0</xdr:row>
      <xdr:rowOff>0</xdr:rowOff>
    </xdr:from>
    <xdr:to>
      <xdr:col>13</xdr:col>
      <xdr:colOff>57150</xdr:colOff>
      <xdr:row>15</xdr:row>
      <xdr:rowOff>123825</xdr:rowOff>
    </xdr:to>
    <xdr:pic>
      <xdr:nvPicPr>
        <xdr:cNvPr id="718" name="ID_953775F75F6640718C4A594D01CB2E93"/>
        <xdr:cNvPicPr>
          <a:picLocks noChangeAspect="1"/>
        </xdr:cNvPicPr>
      </xdr:nvPicPr>
      <xdr:blipFill>
        <a:blip r:embed="rId321"/>
        <a:stretch>
          <a:fillRect/>
        </a:stretch>
      </xdr:blipFill>
      <xdr:spPr>
        <a:xfrm>
          <a:off x="19424650" y="11220450"/>
          <a:ext cx="8972550" cy="2838450"/>
        </a:xfrm>
        <a:prstGeom prst="rect">
          <a:avLst/>
        </a:prstGeom>
        <a:noFill/>
        <a:ln w="9525">
          <a:noFill/>
        </a:ln>
      </xdr:spPr>
    </xdr:pic>
    <xdr:clientData/>
  </xdr:twoCellAnchor>
  <xdr:twoCellAnchor editAs="oneCell">
    <xdr:from>
      <xdr:col>0</xdr:col>
      <xdr:colOff>0</xdr:colOff>
      <xdr:row>0</xdr:row>
      <xdr:rowOff>0</xdr:rowOff>
    </xdr:from>
    <xdr:to>
      <xdr:col>3</xdr:col>
      <xdr:colOff>304800</xdr:colOff>
      <xdr:row>9</xdr:row>
      <xdr:rowOff>85725</xdr:rowOff>
    </xdr:to>
    <xdr:pic>
      <xdr:nvPicPr>
        <xdr:cNvPr id="719" name="ID_87A9B8012B814524B0C0108F94662A80"/>
        <xdr:cNvPicPr>
          <a:picLocks noChangeAspect="1"/>
        </xdr:cNvPicPr>
      </xdr:nvPicPr>
      <xdr:blipFill>
        <a:blip r:embed="rId322"/>
        <a:stretch>
          <a:fillRect/>
        </a:stretch>
      </xdr:blipFill>
      <xdr:spPr>
        <a:xfrm>
          <a:off x="19424650" y="2000250"/>
          <a:ext cx="2362200" cy="1714500"/>
        </a:xfrm>
        <a:prstGeom prst="rect">
          <a:avLst/>
        </a:prstGeom>
        <a:noFill/>
        <a:ln w="9525">
          <a:noFill/>
        </a:ln>
      </xdr:spPr>
    </xdr:pic>
    <xdr:clientData/>
  </xdr:twoCellAnchor>
  <xdr:twoCellAnchor editAs="oneCell">
    <xdr:from>
      <xdr:col>0</xdr:col>
      <xdr:colOff>0</xdr:colOff>
      <xdr:row>0</xdr:row>
      <xdr:rowOff>0</xdr:rowOff>
    </xdr:from>
    <xdr:to>
      <xdr:col>12</xdr:col>
      <xdr:colOff>676275</xdr:colOff>
      <xdr:row>12</xdr:row>
      <xdr:rowOff>104775</xdr:rowOff>
    </xdr:to>
    <xdr:pic>
      <xdr:nvPicPr>
        <xdr:cNvPr id="720" name="ID_29973D3E9C5C4CACA8CCB7BC60C1FDB2"/>
        <xdr:cNvPicPr>
          <a:picLocks noChangeAspect="1"/>
        </xdr:cNvPicPr>
      </xdr:nvPicPr>
      <xdr:blipFill>
        <a:blip r:embed="rId323"/>
        <a:stretch>
          <a:fillRect/>
        </a:stretch>
      </xdr:blipFill>
      <xdr:spPr>
        <a:xfrm>
          <a:off x="19424650" y="13106400"/>
          <a:ext cx="8905875" cy="2276475"/>
        </a:xfrm>
        <a:prstGeom prst="rect">
          <a:avLst/>
        </a:prstGeom>
        <a:noFill/>
        <a:ln w="9525">
          <a:noFill/>
        </a:ln>
      </xdr:spPr>
    </xdr:pic>
    <xdr:clientData/>
  </xdr:twoCellAnchor>
  <xdr:twoCellAnchor editAs="oneCell">
    <xdr:from>
      <xdr:col>0</xdr:col>
      <xdr:colOff>0</xdr:colOff>
      <xdr:row>0</xdr:row>
      <xdr:rowOff>0</xdr:rowOff>
    </xdr:from>
    <xdr:to>
      <xdr:col>12</xdr:col>
      <xdr:colOff>561975</xdr:colOff>
      <xdr:row>12</xdr:row>
      <xdr:rowOff>47625</xdr:rowOff>
    </xdr:to>
    <xdr:pic>
      <xdr:nvPicPr>
        <xdr:cNvPr id="721" name="ID_9C65ABD256014B218AE9F75A57A54D86"/>
        <xdr:cNvPicPr>
          <a:picLocks noChangeAspect="1"/>
        </xdr:cNvPicPr>
      </xdr:nvPicPr>
      <xdr:blipFill>
        <a:blip r:embed="rId324"/>
        <a:stretch>
          <a:fillRect/>
        </a:stretch>
      </xdr:blipFill>
      <xdr:spPr>
        <a:xfrm>
          <a:off x="19424650" y="3048000"/>
          <a:ext cx="8791575" cy="2219325"/>
        </a:xfrm>
        <a:prstGeom prst="rect">
          <a:avLst/>
        </a:prstGeom>
        <a:noFill/>
        <a:ln w="9525">
          <a:noFill/>
        </a:ln>
      </xdr:spPr>
    </xdr:pic>
    <xdr:clientData/>
  </xdr:twoCellAnchor>
  <xdr:twoCellAnchor editAs="oneCell">
    <xdr:from>
      <xdr:col>0</xdr:col>
      <xdr:colOff>0</xdr:colOff>
      <xdr:row>0</xdr:row>
      <xdr:rowOff>0</xdr:rowOff>
    </xdr:from>
    <xdr:to>
      <xdr:col>13</xdr:col>
      <xdr:colOff>85725</xdr:colOff>
      <xdr:row>16</xdr:row>
      <xdr:rowOff>9525</xdr:rowOff>
    </xdr:to>
    <xdr:pic>
      <xdr:nvPicPr>
        <xdr:cNvPr id="722" name="ID_5C909FB74AFE448C8DE7F500A1496E9C"/>
        <xdr:cNvPicPr>
          <a:picLocks noChangeAspect="1"/>
        </xdr:cNvPicPr>
      </xdr:nvPicPr>
      <xdr:blipFill>
        <a:blip r:embed="rId325"/>
        <a:stretch>
          <a:fillRect/>
        </a:stretch>
      </xdr:blipFill>
      <xdr:spPr>
        <a:xfrm>
          <a:off x="19424650" y="13944600"/>
          <a:ext cx="9001125" cy="2905125"/>
        </a:xfrm>
        <a:prstGeom prst="rect">
          <a:avLst/>
        </a:prstGeom>
        <a:noFill/>
        <a:ln w="9525">
          <a:noFill/>
        </a:ln>
      </xdr:spPr>
    </xdr:pic>
    <xdr:clientData/>
  </xdr:twoCellAnchor>
  <xdr:twoCellAnchor editAs="oneCell">
    <xdr:from>
      <xdr:col>0</xdr:col>
      <xdr:colOff>0</xdr:colOff>
      <xdr:row>0</xdr:row>
      <xdr:rowOff>0</xdr:rowOff>
    </xdr:from>
    <xdr:to>
      <xdr:col>12</xdr:col>
      <xdr:colOff>514350</xdr:colOff>
      <xdr:row>11</xdr:row>
      <xdr:rowOff>133350</xdr:rowOff>
    </xdr:to>
    <xdr:pic>
      <xdr:nvPicPr>
        <xdr:cNvPr id="723" name="ID_8DC20D78B5F0411E886FB9E01F987695"/>
        <xdr:cNvPicPr>
          <a:picLocks noChangeAspect="1"/>
        </xdr:cNvPicPr>
      </xdr:nvPicPr>
      <xdr:blipFill>
        <a:blip r:embed="rId326"/>
        <a:stretch>
          <a:fillRect/>
        </a:stretch>
      </xdr:blipFill>
      <xdr:spPr>
        <a:xfrm>
          <a:off x="19424650" y="3886200"/>
          <a:ext cx="8743950" cy="2124075"/>
        </a:xfrm>
        <a:prstGeom prst="rect">
          <a:avLst/>
        </a:prstGeom>
        <a:noFill/>
        <a:ln w="9525">
          <a:noFill/>
        </a:ln>
      </xdr:spPr>
    </xdr:pic>
    <xdr:clientData/>
  </xdr:twoCellAnchor>
  <xdr:twoCellAnchor editAs="oneCell">
    <xdr:from>
      <xdr:col>0</xdr:col>
      <xdr:colOff>0</xdr:colOff>
      <xdr:row>0</xdr:row>
      <xdr:rowOff>0</xdr:rowOff>
    </xdr:from>
    <xdr:to>
      <xdr:col>12</xdr:col>
      <xdr:colOff>523875</xdr:colOff>
      <xdr:row>12</xdr:row>
      <xdr:rowOff>9525</xdr:rowOff>
    </xdr:to>
    <xdr:pic>
      <xdr:nvPicPr>
        <xdr:cNvPr id="724" name="ID_778DEADE7ADC42E2B2A709B49CF0682C"/>
        <xdr:cNvPicPr>
          <a:picLocks noChangeAspect="1"/>
        </xdr:cNvPicPr>
      </xdr:nvPicPr>
      <xdr:blipFill>
        <a:blip r:embed="rId327"/>
        <a:stretch>
          <a:fillRect/>
        </a:stretch>
      </xdr:blipFill>
      <xdr:spPr>
        <a:xfrm>
          <a:off x="19424650" y="3467100"/>
          <a:ext cx="8753475" cy="2181225"/>
        </a:xfrm>
        <a:prstGeom prst="rect">
          <a:avLst/>
        </a:prstGeom>
        <a:noFill/>
        <a:ln w="9525">
          <a:noFill/>
        </a:ln>
      </xdr:spPr>
    </xdr:pic>
    <xdr:clientData/>
  </xdr:twoCellAnchor>
  <xdr:twoCellAnchor editAs="oneCell">
    <xdr:from>
      <xdr:col>0</xdr:col>
      <xdr:colOff>0</xdr:colOff>
      <xdr:row>0</xdr:row>
      <xdr:rowOff>0</xdr:rowOff>
    </xdr:from>
    <xdr:to>
      <xdr:col>12</xdr:col>
      <xdr:colOff>561975</xdr:colOff>
      <xdr:row>16</xdr:row>
      <xdr:rowOff>85725</xdr:rowOff>
    </xdr:to>
    <xdr:pic>
      <xdr:nvPicPr>
        <xdr:cNvPr id="725" name="ID_64CF850183D74624BB59A51CF7CE6D9A"/>
        <xdr:cNvPicPr>
          <a:picLocks noChangeAspect="1"/>
        </xdr:cNvPicPr>
      </xdr:nvPicPr>
      <xdr:blipFill>
        <a:blip r:embed="rId328"/>
        <a:stretch>
          <a:fillRect/>
        </a:stretch>
      </xdr:blipFill>
      <xdr:spPr>
        <a:xfrm>
          <a:off x="19424650" y="4305300"/>
          <a:ext cx="8791575" cy="2981325"/>
        </a:xfrm>
        <a:prstGeom prst="rect">
          <a:avLst/>
        </a:prstGeom>
        <a:noFill/>
        <a:ln w="9525">
          <a:noFill/>
        </a:ln>
      </xdr:spPr>
    </xdr:pic>
    <xdr:clientData/>
  </xdr:twoCellAnchor>
  <xdr:twoCellAnchor editAs="oneCell">
    <xdr:from>
      <xdr:col>0</xdr:col>
      <xdr:colOff>0</xdr:colOff>
      <xdr:row>0</xdr:row>
      <xdr:rowOff>0</xdr:rowOff>
    </xdr:from>
    <xdr:to>
      <xdr:col>12</xdr:col>
      <xdr:colOff>542925</xdr:colOff>
      <xdr:row>12</xdr:row>
      <xdr:rowOff>114300</xdr:rowOff>
    </xdr:to>
    <xdr:pic>
      <xdr:nvPicPr>
        <xdr:cNvPr id="726" name="ID_6BF4A1B6CF264F4CB2B75465DDE0CB5A"/>
        <xdr:cNvPicPr>
          <a:picLocks noChangeAspect="1"/>
        </xdr:cNvPicPr>
      </xdr:nvPicPr>
      <xdr:blipFill>
        <a:blip r:embed="rId329"/>
        <a:stretch>
          <a:fillRect/>
        </a:stretch>
      </xdr:blipFill>
      <xdr:spPr>
        <a:xfrm>
          <a:off x="19424650" y="4724400"/>
          <a:ext cx="8772525" cy="2286000"/>
        </a:xfrm>
        <a:prstGeom prst="rect">
          <a:avLst/>
        </a:prstGeom>
        <a:noFill/>
        <a:ln w="9525">
          <a:noFill/>
        </a:ln>
      </xdr:spPr>
    </xdr:pic>
    <xdr:clientData/>
  </xdr:twoCellAnchor>
  <xdr:twoCellAnchor editAs="oneCell">
    <xdr:from>
      <xdr:col>0</xdr:col>
      <xdr:colOff>0</xdr:colOff>
      <xdr:row>0</xdr:row>
      <xdr:rowOff>0</xdr:rowOff>
    </xdr:from>
    <xdr:to>
      <xdr:col>12</xdr:col>
      <xdr:colOff>600075</xdr:colOff>
      <xdr:row>13</xdr:row>
      <xdr:rowOff>133350</xdr:rowOff>
    </xdr:to>
    <xdr:pic>
      <xdr:nvPicPr>
        <xdr:cNvPr id="727" name="ID_45C38D949E30448E9469BC1B770DE87C"/>
        <xdr:cNvPicPr>
          <a:picLocks noChangeAspect="1"/>
        </xdr:cNvPicPr>
      </xdr:nvPicPr>
      <xdr:blipFill>
        <a:blip r:embed="rId330"/>
        <a:stretch>
          <a:fillRect/>
        </a:stretch>
      </xdr:blipFill>
      <xdr:spPr>
        <a:xfrm>
          <a:off x="19424650" y="5143500"/>
          <a:ext cx="8829675" cy="2486025"/>
        </a:xfrm>
        <a:prstGeom prst="rect">
          <a:avLst/>
        </a:prstGeom>
        <a:noFill/>
        <a:ln w="9525">
          <a:noFill/>
        </a:ln>
      </xdr:spPr>
    </xdr:pic>
    <xdr:clientData/>
  </xdr:twoCellAnchor>
  <xdr:twoCellAnchor editAs="oneCell">
    <xdr:from>
      <xdr:col>0</xdr:col>
      <xdr:colOff>0</xdr:colOff>
      <xdr:row>0</xdr:row>
      <xdr:rowOff>0</xdr:rowOff>
    </xdr:from>
    <xdr:to>
      <xdr:col>12</xdr:col>
      <xdr:colOff>542925</xdr:colOff>
      <xdr:row>15</xdr:row>
      <xdr:rowOff>104775</xdr:rowOff>
    </xdr:to>
    <xdr:pic>
      <xdr:nvPicPr>
        <xdr:cNvPr id="728" name="ID_BC2BDD96610A4614B4379B3866B7A4FB"/>
        <xdr:cNvPicPr>
          <a:picLocks noChangeAspect="1"/>
        </xdr:cNvPicPr>
      </xdr:nvPicPr>
      <xdr:blipFill>
        <a:blip r:embed="rId331"/>
        <a:stretch>
          <a:fillRect/>
        </a:stretch>
      </xdr:blipFill>
      <xdr:spPr>
        <a:xfrm>
          <a:off x="19424650" y="5562600"/>
          <a:ext cx="8772525" cy="2819400"/>
        </a:xfrm>
        <a:prstGeom prst="rect">
          <a:avLst/>
        </a:prstGeom>
        <a:noFill/>
        <a:ln w="9525">
          <a:noFill/>
        </a:ln>
      </xdr:spPr>
    </xdr:pic>
    <xdr:clientData/>
  </xdr:twoCellAnchor>
  <xdr:twoCellAnchor editAs="oneCell">
    <xdr:from>
      <xdr:col>0</xdr:col>
      <xdr:colOff>0</xdr:colOff>
      <xdr:row>0</xdr:row>
      <xdr:rowOff>0</xdr:rowOff>
    </xdr:from>
    <xdr:to>
      <xdr:col>12</xdr:col>
      <xdr:colOff>504825</xdr:colOff>
      <xdr:row>15</xdr:row>
      <xdr:rowOff>85725</xdr:rowOff>
    </xdr:to>
    <xdr:pic>
      <xdr:nvPicPr>
        <xdr:cNvPr id="729" name="ID_AE2AADC1DA0D4938B5165DB4006381C5"/>
        <xdr:cNvPicPr>
          <a:picLocks noChangeAspect="1"/>
        </xdr:cNvPicPr>
      </xdr:nvPicPr>
      <xdr:blipFill>
        <a:blip r:embed="rId332"/>
        <a:stretch>
          <a:fillRect/>
        </a:stretch>
      </xdr:blipFill>
      <xdr:spPr>
        <a:xfrm>
          <a:off x="19424650" y="5981700"/>
          <a:ext cx="8734425" cy="2800350"/>
        </a:xfrm>
        <a:prstGeom prst="rect">
          <a:avLst/>
        </a:prstGeom>
        <a:noFill/>
        <a:ln w="9525">
          <a:noFill/>
        </a:ln>
      </xdr:spPr>
    </xdr:pic>
    <xdr:clientData/>
  </xdr:twoCellAnchor>
  <xdr:twoCellAnchor editAs="oneCell">
    <xdr:from>
      <xdr:col>0</xdr:col>
      <xdr:colOff>0</xdr:colOff>
      <xdr:row>0</xdr:row>
      <xdr:rowOff>0</xdr:rowOff>
    </xdr:from>
    <xdr:to>
      <xdr:col>12</xdr:col>
      <xdr:colOff>457200</xdr:colOff>
      <xdr:row>17</xdr:row>
      <xdr:rowOff>38100</xdr:rowOff>
    </xdr:to>
    <xdr:pic>
      <xdr:nvPicPr>
        <xdr:cNvPr id="730" name="ID_47FC3F74998740B19997553D6A4D7146"/>
        <xdr:cNvPicPr>
          <a:picLocks noChangeAspect="1"/>
        </xdr:cNvPicPr>
      </xdr:nvPicPr>
      <xdr:blipFill>
        <a:blip r:embed="rId333"/>
        <a:stretch>
          <a:fillRect/>
        </a:stretch>
      </xdr:blipFill>
      <xdr:spPr>
        <a:xfrm>
          <a:off x="19424650" y="6400800"/>
          <a:ext cx="8686800" cy="3114675"/>
        </a:xfrm>
        <a:prstGeom prst="rect">
          <a:avLst/>
        </a:prstGeom>
        <a:noFill/>
        <a:ln w="9525">
          <a:noFill/>
        </a:ln>
      </xdr:spPr>
    </xdr:pic>
    <xdr:clientData/>
  </xdr:twoCellAnchor>
  <xdr:twoCellAnchor editAs="oneCell">
    <xdr:from>
      <xdr:col>0</xdr:col>
      <xdr:colOff>0</xdr:colOff>
      <xdr:row>0</xdr:row>
      <xdr:rowOff>0</xdr:rowOff>
    </xdr:from>
    <xdr:to>
      <xdr:col>13</xdr:col>
      <xdr:colOff>361950</xdr:colOff>
      <xdr:row>14</xdr:row>
      <xdr:rowOff>142875</xdr:rowOff>
    </xdr:to>
    <xdr:pic>
      <xdr:nvPicPr>
        <xdr:cNvPr id="731" name="ID_BED0F2E7E81A4DFA8920843A5A1DFFCA"/>
        <xdr:cNvPicPr>
          <a:picLocks noChangeAspect="1"/>
        </xdr:cNvPicPr>
      </xdr:nvPicPr>
      <xdr:blipFill>
        <a:blip r:embed="rId334"/>
        <a:stretch>
          <a:fillRect/>
        </a:stretch>
      </xdr:blipFill>
      <xdr:spPr>
        <a:xfrm>
          <a:off x="19424650" y="6819900"/>
          <a:ext cx="9277350" cy="2676525"/>
        </a:xfrm>
        <a:prstGeom prst="rect">
          <a:avLst/>
        </a:prstGeom>
        <a:noFill/>
        <a:ln w="9525">
          <a:noFill/>
        </a:ln>
      </xdr:spPr>
    </xdr:pic>
    <xdr:clientData/>
  </xdr:twoCellAnchor>
  <xdr:twoCellAnchor editAs="oneCell">
    <xdr:from>
      <xdr:col>0</xdr:col>
      <xdr:colOff>0</xdr:colOff>
      <xdr:row>0</xdr:row>
      <xdr:rowOff>0</xdr:rowOff>
    </xdr:from>
    <xdr:to>
      <xdr:col>13</xdr:col>
      <xdr:colOff>342900</xdr:colOff>
      <xdr:row>8</xdr:row>
      <xdr:rowOff>171450</xdr:rowOff>
    </xdr:to>
    <xdr:pic>
      <xdr:nvPicPr>
        <xdr:cNvPr id="732" name="ID_9D296DC028D7433F9E234103DE88599C"/>
        <xdr:cNvPicPr>
          <a:picLocks noChangeAspect="1"/>
        </xdr:cNvPicPr>
      </xdr:nvPicPr>
      <xdr:blipFill>
        <a:blip r:embed="rId335"/>
        <a:stretch>
          <a:fillRect/>
        </a:stretch>
      </xdr:blipFill>
      <xdr:spPr>
        <a:xfrm>
          <a:off x="19424650" y="7239000"/>
          <a:ext cx="9258300" cy="1619250"/>
        </a:xfrm>
        <a:prstGeom prst="rect">
          <a:avLst/>
        </a:prstGeom>
        <a:noFill/>
        <a:ln w="9525">
          <a:noFill/>
        </a:ln>
      </xdr:spPr>
    </xdr:pic>
    <xdr:clientData/>
  </xdr:twoCellAnchor>
  <xdr:twoCellAnchor editAs="oneCell">
    <xdr:from>
      <xdr:col>0</xdr:col>
      <xdr:colOff>0</xdr:colOff>
      <xdr:row>0</xdr:row>
      <xdr:rowOff>0</xdr:rowOff>
    </xdr:from>
    <xdr:to>
      <xdr:col>12</xdr:col>
      <xdr:colOff>247650</xdr:colOff>
      <xdr:row>12</xdr:row>
      <xdr:rowOff>47625</xdr:rowOff>
    </xdr:to>
    <xdr:pic>
      <xdr:nvPicPr>
        <xdr:cNvPr id="733" name="ID_1FE3B3B77FA14ABE97510935C9F71C9E"/>
        <xdr:cNvPicPr>
          <a:picLocks noChangeAspect="1"/>
        </xdr:cNvPicPr>
      </xdr:nvPicPr>
      <xdr:blipFill>
        <a:blip r:embed="rId336"/>
        <a:stretch>
          <a:fillRect/>
        </a:stretch>
      </xdr:blipFill>
      <xdr:spPr>
        <a:xfrm>
          <a:off x="19424650" y="7867650"/>
          <a:ext cx="8477250" cy="2219325"/>
        </a:xfrm>
        <a:prstGeom prst="rect">
          <a:avLst/>
        </a:prstGeom>
        <a:noFill/>
        <a:ln w="9525">
          <a:noFill/>
        </a:ln>
      </xdr:spPr>
    </xdr:pic>
    <xdr:clientData/>
  </xdr:twoCellAnchor>
  <xdr:twoCellAnchor editAs="oneCell">
    <xdr:from>
      <xdr:col>0</xdr:col>
      <xdr:colOff>0</xdr:colOff>
      <xdr:row>0</xdr:row>
      <xdr:rowOff>0</xdr:rowOff>
    </xdr:from>
    <xdr:to>
      <xdr:col>12</xdr:col>
      <xdr:colOff>190500</xdr:colOff>
      <xdr:row>12</xdr:row>
      <xdr:rowOff>38100</xdr:rowOff>
    </xdr:to>
    <xdr:pic>
      <xdr:nvPicPr>
        <xdr:cNvPr id="734" name="ID_FAA707D825064627863D9F2437137CD0"/>
        <xdr:cNvPicPr>
          <a:picLocks noChangeAspect="1"/>
        </xdr:cNvPicPr>
      </xdr:nvPicPr>
      <xdr:blipFill>
        <a:blip r:embed="rId337"/>
        <a:stretch>
          <a:fillRect/>
        </a:stretch>
      </xdr:blipFill>
      <xdr:spPr>
        <a:xfrm>
          <a:off x="19424650" y="8286750"/>
          <a:ext cx="8420100" cy="2209800"/>
        </a:xfrm>
        <a:prstGeom prst="rect">
          <a:avLst/>
        </a:prstGeom>
        <a:noFill/>
        <a:ln w="9525">
          <a:noFill/>
        </a:ln>
      </xdr:spPr>
    </xdr:pic>
    <xdr:clientData/>
  </xdr:twoCellAnchor>
  <xdr:twoCellAnchor editAs="oneCell">
    <xdr:from>
      <xdr:col>0</xdr:col>
      <xdr:colOff>0</xdr:colOff>
      <xdr:row>0</xdr:row>
      <xdr:rowOff>0</xdr:rowOff>
    </xdr:from>
    <xdr:to>
      <xdr:col>12</xdr:col>
      <xdr:colOff>200025</xdr:colOff>
      <xdr:row>6</xdr:row>
      <xdr:rowOff>104775</xdr:rowOff>
    </xdr:to>
    <xdr:pic>
      <xdr:nvPicPr>
        <xdr:cNvPr id="735" name="ID_32BB498E60D9428A8DDB03EB4BCBBAD9"/>
        <xdr:cNvPicPr>
          <a:picLocks noChangeAspect="1"/>
        </xdr:cNvPicPr>
      </xdr:nvPicPr>
      <xdr:blipFill>
        <a:blip r:embed="rId338"/>
        <a:stretch>
          <a:fillRect/>
        </a:stretch>
      </xdr:blipFill>
      <xdr:spPr>
        <a:xfrm>
          <a:off x="19424650" y="8705850"/>
          <a:ext cx="8429625" cy="1190625"/>
        </a:xfrm>
        <a:prstGeom prst="rect">
          <a:avLst/>
        </a:prstGeom>
        <a:noFill/>
        <a:ln w="9525">
          <a:noFill/>
        </a:ln>
      </xdr:spPr>
    </xdr:pic>
    <xdr:clientData/>
  </xdr:twoCellAnchor>
  <xdr:twoCellAnchor editAs="oneCell">
    <xdr:from>
      <xdr:col>0</xdr:col>
      <xdr:colOff>0</xdr:colOff>
      <xdr:row>0</xdr:row>
      <xdr:rowOff>0</xdr:rowOff>
    </xdr:from>
    <xdr:to>
      <xdr:col>5</xdr:col>
      <xdr:colOff>381000</xdr:colOff>
      <xdr:row>6</xdr:row>
      <xdr:rowOff>66675</xdr:rowOff>
    </xdr:to>
    <xdr:pic>
      <xdr:nvPicPr>
        <xdr:cNvPr id="736" name="ID_C65C7B6080D44E7786E86E3FAC3DC22D"/>
        <xdr:cNvPicPr>
          <a:picLocks noChangeAspect="1"/>
        </xdr:cNvPicPr>
      </xdr:nvPicPr>
      <xdr:blipFill>
        <a:blip r:embed="rId339"/>
        <a:stretch>
          <a:fillRect/>
        </a:stretch>
      </xdr:blipFill>
      <xdr:spPr>
        <a:xfrm>
          <a:off x="19424650" y="9124950"/>
          <a:ext cx="3810000" cy="1152525"/>
        </a:xfrm>
        <a:prstGeom prst="rect">
          <a:avLst/>
        </a:prstGeom>
        <a:noFill/>
        <a:ln w="9525">
          <a:noFill/>
        </a:ln>
      </xdr:spPr>
    </xdr:pic>
    <xdr:clientData/>
  </xdr:twoCellAnchor>
  <xdr:twoCellAnchor editAs="oneCell">
    <xdr:from>
      <xdr:col>0</xdr:col>
      <xdr:colOff>0</xdr:colOff>
      <xdr:row>0</xdr:row>
      <xdr:rowOff>0</xdr:rowOff>
    </xdr:from>
    <xdr:to>
      <xdr:col>9</xdr:col>
      <xdr:colOff>609600</xdr:colOff>
      <xdr:row>7</xdr:row>
      <xdr:rowOff>66675</xdr:rowOff>
    </xdr:to>
    <xdr:pic>
      <xdr:nvPicPr>
        <xdr:cNvPr id="737" name="ID_7F4AF9CF7AA74F3185DDE511FFF7D0DE"/>
        <xdr:cNvPicPr>
          <a:picLocks noChangeAspect="1"/>
        </xdr:cNvPicPr>
      </xdr:nvPicPr>
      <xdr:blipFill>
        <a:blip r:embed="rId340"/>
        <a:stretch>
          <a:fillRect/>
        </a:stretch>
      </xdr:blipFill>
      <xdr:spPr>
        <a:xfrm>
          <a:off x="19424650" y="9544050"/>
          <a:ext cx="6781800" cy="1333500"/>
        </a:xfrm>
        <a:prstGeom prst="rect">
          <a:avLst/>
        </a:prstGeom>
        <a:noFill/>
        <a:ln w="9525">
          <a:noFill/>
        </a:ln>
      </xdr:spPr>
    </xdr:pic>
    <xdr:clientData/>
  </xdr:twoCellAnchor>
  <xdr:twoCellAnchor editAs="oneCell">
    <xdr:from>
      <xdr:col>0</xdr:col>
      <xdr:colOff>0</xdr:colOff>
      <xdr:row>0</xdr:row>
      <xdr:rowOff>0</xdr:rowOff>
    </xdr:from>
    <xdr:to>
      <xdr:col>9</xdr:col>
      <xdr:colOff>628650</xdr:colOff>
      <xdr:row>7</xdr:row>
      <xdr:rowOff>47625</xdr:rowOff>
    </xdr:to>
    <xdr:pic>
      <xdr:nvPicPr>
        <xdr:cNvPr id="738" name="ID_CAAFF6B3AB474C8FAD0458009BDF82D9"/>
        <xdr:cNvPicPr>
          <a:picLocks noChangeAspect="1"/>
        </xdr:cNvPicPr>
      </xdr:nvPicPr>
      <xdr:blipFill>
        <a:blip r:embed="rId341"/>
        <a:stretch>
          <a:fillRect/>
        </a:stretch>
      </xdr:blipFill>
      <xdr:spPr>
        <a:xfrm>
          <a:off x="19424650" y="9963150"/>
          <a:ext cx="6800850" cy="1314450"/>
        </a:xfrm>
        <a:prstGeom prst="rect">
          <a:avLst/>
        </a:prstGeom>
        <a:noFill/>
        <a:ln w="9525">
          <a:noFill/>
        </a:ln>
      </xdr:spPr>
    </xdr:pic>
    <xdr:clientData/>
  </xdr:twoCellAnchor>
  <xdr:twoCellAnchor editAs="oneCell">
    <xdr:from>
      <xdr:col>0</xdr:col>
      <xdr:colOff>0</xdr:colOff>
      <xdr:row>0</xdr:row>
      <xdr:rowOff>0</xdr:rowOff>
    </xdr:from>
    <xdr:to>
      <xdr:col>9</xdr:col>
      <xdr:colOff>390525</xdr:colOff>
      <xdr:row>6</xdr:row>
      <xdr:rowOff>76200</xdr:rowOff>
    </xdr:to>
    <xdr:pic>
      <xdr:nvPicPr>
        <xdr:cNvPr id="739" name="ID_FD97476FD5D74246BC80DE7153511B85"/>
        <xdr:cNvPicPr>
          <a:picLocks noChangeAspect="1"/>
        </xdr:cNvPicPr>
      </xdr:nvPicPr>
      <xdr:blipFill>
        <a:blip r:embed="rId342"/>
        <a:stretch>
          <a:fillRect/>
        </a:stretch>
      </xdr:blipFill>
      <xdr:spPr>
        <a:xfrm>
          <a:off x="19424650" y="10382250"/>
          <a:ext cx="6562725" cy="1162050"/>
        </a:xfrm>
        <a:prstGeom prst="rect">
          <a:avLst/>
        </a:prstGeom>
        <a:noFill/>
        <a:ln w="9525">
          <a:noFill/>
        </a:ln>
      </xdr:spPr>
    </xdr:pic>
    <xdr:clientData/>
  </xdr:twoCellAnchor>
  <xdr:twoCellAnchor editAs="oneCell">
    <xdr:from>
      <xdr:col>0</xdr:col>
      <xdr:colOff>0</xdr:colOff>
      <xdr:row>0</xdr:row>
      <xdr:rowOff>0</xdr:rowOff>
    </xdr:from>
    <xdr:to>
      <xdr:col>9</xdr:col>
      <xdr:colOff>152400</xdr:colOff>
      <xdr:row>6</xdr:row>
      <xdr:rowOff>133350</xdr:rowOff>
    </xdr:to>
    <xdr:pic>
      <xdr:nvPicPr>
        <xdr:cNvPr id="740" name="ID_C4CD3B07A5C049AA8295F549C88CB7C0"/>
        <xdr:cNvPicPr>
          <a:picLocks noChangeAspect="1"/>
        </xdr:cNvPicPr>
      </xdr:nvPicPr>
      <xdr:blipFill>
        <a:blip r:embed="rId343"/>
        <a:stretch>
          <a:fillRect/>
        </a:stretch>
      </xdr:blipFill>
      <xdr:spPr>
        <a:xfrm>
          <a:off x="19424650" y="10801350"/>
          <a:ext cx="6324600" cy="1219200"/>
        </a:xfrm>
        <a:prstGeom prst="rect">
          <a:avLst/>
        </a:prstGeom>
        <a:noFill/>
        <a:ln w="9525">
          <a:noFill/>
        </a:ln>
      </xdr:spPr>
    </xdr:pic>
    <xdr:clientData/>
  </xdr:twoCellAnchor>
  <xdr:twoCellAnchor editAs="oneCell">
    <xdr:from>
      <xdr:col>0</xdr:col>
      <xdr:colOff>0</xdr:colOff>
      <xdr:row>0</xdr:row>
      <xdr:rowOff>0</xdr:rowOff>
    </xdr:from>
    <xdr:to>
      <xdr:col>13</xdr:col>
      <xdr:colOff>152400</xdr:colOff>
      <xdr:row>11</xdr:row>
      <xdr:rowOff>114300</xdr:rowOff>
    </xdr:to>
    <xdr:pic>
      <xdr:nvPicPr>
        <xdr:cNvPr id="741" name="ID_23B57C198FD5442883789E7413DFC131"/>
        <xdr:cNvPicPr>
          <a:picLocks noChangeAspect="1"/>
        </xdr:cNvPicPr>
      </xdr:nvPicPr>
      <xdr:blipFill>
        <a:blip r:embed="rId344"/>
        <a:stretch>
          <a:fillRect/>
        </a:stretch>
      </xdr:blipFill>
      <xdr:spPr>
        <a:xfrm>
          <a:off x="19424650" y="11849100"/>
          <a:ext cx="9067800" cy="2105025"/>
        </a:xfrm>
        <a:prstGeom prst="rect">
          <a:avLst/>
        </a:prstGeom>
        <a:noFill/>
        <a:ln w="9525">
          <a:noFill/>
        </a:ln>
      </xdr:spPr>
    </xdr:pic>
    <xdr:clientData/>
  </xdr:twoCellAnchor>
  <xdr:twoCellAnchor editAs="oneCell">
    <xdr:from>
      <xdr:col>0</xdr:col>
      <xdr:colOff>0</xdr:colOff>
      <xdr:row>0</xdr:row>
      <xdr:rowOff>0</xdr:rowOff>
    </xdr:from>
    <xdr:to>
      <xdr:col>12</xdr:col>
      <xdr:colOff>590550</xdr:colOff>
      <xdr:row>15</xdr:row>
      <xdr:rowOff>152400</xdr:rowOff>
    </xdr:to>
    <xdr:pic>
      <xdr:nvPicPr>
        <xdr:cNvPr id="742" name="ID_727C7F7A92084B8290D0F11AE3F899FF"/>
        <xdr:cNvPicPr>
          <a:picLocks noChangeAspect="1"/>
        </xdr:cNvPicPr>
      </xdr:nvPicPr>
      <xdr:blipFill>
        <a:blip r:embed="rId345"/>
        <a:stretch>
          <a:fillRect/>
        </a:stretch>
      </xdr:blipFill>
      <xdr:spPr>
        <a:xfrm>
          <a:off x="19424650" y="12687300"/>
          <a:ext cx="8820150" cy="2867025"/>
        </a:xfrm>
        <a:prstGeom prst="rect">
          <a:avLst/>
        </a:prstGeom>
        <a:noFill/>
        <a:ln w="9525">
          <a:noFill/>
        </a:ln>
      </xdr:spPr>
    </xdr:pic>
    <xdr:clientData/>
  </xdr:twoCellAnchor>
  <xdr:twoCellAnchor editAs="oneCell">
    <xdr:from>
      <xdr:col>0</xdr:col>
      <xdr:colOff>0</xdr:colOff>
      <xdr:row>0</xdr:row>
      <xdr:rowOff>0</xdr:rowOff>
    </xdr:from>
    <xdr:to>
      <xdr:col>13</xdr:col>
      <xdr:colOff>57150</xdr:colOff>
      <xdr:row>16</xdr:row>
      <xdr:rowOff>57150</xdr:rowOff>
    </xdr:to>
    <xdr:pic>
      <xdr:nvPicPr>
        <xdr:cNvPr id="743" name="ID_CEFD35FC562649259176A69813C5CE02"/>
        <xdr:cNvPicPr>
          <a:picLocks noChangeAspect="1"/>
        </xdr:cNvPicPr>
      </xdr:nvPicPr>
      <xdr:blipFill>
        <a:blip r:embed="rId346"/>
        <a:stretch>
          <a:fillRect/>
        </a:stretch>
      </xdr:blipFill>
      <xdr:spPr>
        <a:xfrm>
          <a:off x="19424650" y="13525500"/>
          <a:ext cx="8972550" cy="2952750"/>
        </a:xfrm>
        <a:prstGeom prst="rect">
          <a:avLst/>
        </a:prstGeom>
        <a:noFill/>
        <a:ln w="9525">
          <a:noFill/>
        </a:ln>
      </xdr:spPr>
    </xdr:pic>
    <xdr:clientData/>
  </xdr:twoCellAnchor>
  <xdr:twoCellAnchor editAs="oneCell">
    <xdr:from>
      <xdr:col>0</xdr:col>
      <xdr:colOff>0</xdr:colOff>
      <xdr:row>0</xdr:row>
      <xdr:rowOff>0</xdr:rowOff>
    </xdr:from>
    <xdr:to>
      <xdr:col>13</xdr:col>
      <xdr:colOff>76200</xdr:colOff>
      <xdr:row>15</xdr:row>
      <xdr:rowOff>152400</xdr:rowOff>
    </xdr:to>
    <xdr:pic>
      <xdr:nvPicPr>
        <xdr:cNvPr id="744" name="ID_57F84E14A4154CBF839D63172A9E109B"/>
        <xdr:cNvPicPr>
          <a:picLocks noChangeAspect="1"/>
        </xdr:cNvPicPr>
      </xdr:nvPicPr>
      <xdr:blipFill>
        <a:blip r:embed="rId347"/>
        <a:stretch>
          <a:fillRect/>
        </a:stretch>
      </xdr:blipFill>
      <xdr:spPr>
        <a:xfrm>
          <a:off x="19424650" y="14363700"/>
          <a:ext cx="8991600" cy="2867025"/>
        </a:xfrm>
        <a:prstGeom prst="rect">
          <a:avLst/>
        </a:prstGeom>
        <a:noFill/>
        <a:ln w="9525">
          <a:noFill/>
        </a:ln>
      </xdr:spPr>
    </xdr:pic>
    <xdr:clientData/>
  </xdr:twoCellAnchor>
  <xdr:twoCellAnchor editAs="oneCell">
    <xdr:from>
      <xdr:col>0</xdr:col>
      <xdr:colOff>0</xdr:colOff>
      <xdr:row>0</xdr:row>
      <xdr:rowOff>0</xdr:rowOff>
    </xdr:from>
    <xdr:to>
      <xdr:col>12</xdr:col>
      <xdr:colOff>266700</xdr:colOff>
      <xdr:row>15</xdr:row>
      <xdr:rowOff>123825</xdr:rowOff>
    </xdr:to>
    <xdr:pic>
      <xdr:nvPicPr>
        <xdr:cNvPr id="745" name="ID_647355908CC34ECEBF0F6FA4BCCF2F4A"/>
        <xdr:cNvPicPr>
          <a:picLocks noChangeAspect="1"/>
        </xdr:cNvPicPr>
      </xdr:nvPicPr>
      <xdr:blipFill>
        <a:blip r:embed="rId348"/>
        <a:stretch>
          <a:fillRect/>
        </a:stretch>
      </xdr:blipFill>
      <xdr:spPr>
        <a:xfrm>
          <a:off x="17868265" y="1371600"/>
          <a:ext cx="8496300" cy="2838450"/>
        </a:xfrm>
        <a:prstGeom prst="rect">
          <a:avLst/>
        </a:prstGeom>
        <a:noFill/>
        <a:ln w="9525">
          <a:noFill/>
        </a:ln>
      </xdr:spPr>
    </xdr:pic>
    <xdr:clientData/>
  </xdr:twoCellAnchor>
  <xdr:twoCellAnchor editAs="oneCell">
    <xdr:from>
      <xdr:col>0</xdr:col>
      <xdr:colOff>0</xdr:colOff>
      <xdr:row>0</xdr:row>
      <xdr:rowOff>0</xdr:rowOff>
    </xdr:from>
    <xdr:to>
      <xdr:col>12</xdr:col>
      <xdr:colOff>276225</xdr:colOff>
      <xdr:row>18</xdr:row>
      <xdr:rowOff>95250</xdr:rowOff>
    </xdr:to>
    <xdr:pic>
      <xdr:nvPicPr>
        <xdr:cNvPr id="746" name="ID_4D68499F85E241F9880F6207A3071F3A"/>
        <xdr:cNvPicPr>
          <a:picLocks noChangeAspect="1"/>
        </xdr:cNvPicPr>
      </xdr:nvPicPr>
      <xdr:blipFill>
        <a:blip r:embed="rId349"/>
        <a:stretch>
          <a:fillRect/>
        </a:stretch>
      </xdr:blipFill>
      <xdr:spPr>
        <a:xfrm>
          <a:off x="17868265" y="11010900"/>
          <a:ext cx="8505825" cy="3352800"/>
        </a:xfrm>
        <a:prstGeom prst="rect">
          <a:avLst/>
        </a:prstGeom>
        <a:noFill/>
        <a:ln w="9525">
          <a:noFill/>
        </a:ln>
      </xdr:spPr>
    </xdr:pic>
    <xdr:clientData/>
  </xdr:twoCellAnchor>
  <xdr:twoCellAnchor editAs="oneCell">
    <xdr:from>
      <xdr:col>0</xdr:col>
      <xdr:colOff>0</xdr:colOff>
      <xdr:row>0</xdr:row>
      <xdr:rowOff>0</xdr:rowOff>
    </xdr:from>
    <xdr:to>
      <xdr:col>12</xdr:col>
      <xdr:colOff>495300</xdr:colOff>
      <xdr:row>24</xdr:row>
      <xdr:rowOff>9525</xdr:rowOff>
    </xdr:to>
    <xdr:pic>
      <xdr:nvPicPr>
        <xdr:cNvPr id="747" name="ID_EDE8CE1D8C754E5AAAC60C00F514BC84"/>
        <xdr:cNvPicPr>
          <a:picLocks noChangeAspect="1"/>
        </xdr:cNvPicPr>
      </xdr:nvPicPr>
      <xdr:blipFill>
        <a:blip r:embed="rId350"/>
        <a:stretch>
          <a:fillRect/>
        </a:stretch>
      </xdr:blipFill>
      <xdr:spPr>
        <a:xfrm>
          <a:off x="17868265" y="20859750"/>
          <a:ext cx="8724900" cy="4352925"/>
        </a:xfrm>
        <a:prstGeom prst="rect">
          <a:avLst/>
        </a:prstGeom>
        <a:noFill/>
        <a:ln w="9525">
          <a:noFill/>
        </a:ln>
      </xdr:spPr>
    </xdr:pic>
    <xdr:clientData/>
  </xdr:twoCellAnchor>
  <xdr:twoCellAnchor editAs="oneCell">
    <xdr:from>
      <xdr:col>0</xdr:col>
      <xdr:colOff>0</xdr:colOff>
      <xdr:row>0</xdr:row>
      <xdr:rowOff>0</xdr:rowOff>
    </xdr:from>
    <xdr:to>
      <xdr:col>11</xdr:col>
      <xdr:colOff>600075</xdr:colOff>
      <xdr:row>25</xdr:row>
      <xdr:rowOff>19050</xdr:rowOff>
    </xdr:to>
    <xdr:pic>
      <xdr:nvPicPr>
        <xdr:cNvPr id="748" name="ID_A48AAB49E3E748A183104449D2967141"/>
        <xdr:cNvPicPr>
          <a:picLocks noChangeAspect="1"/>
        </xdr:cNvPicPr>
      </xdr:nvPicPr>
      <xdr:blipFill>
        <a:blip r:embed="rId351"/>
        <a:stretch>
          <a:fillRect/>
        </a:stretch>
      </xdr:blipFill>
      <xdr:spPr>
        <a:xfrm>
          <a:off x="17868265" y="952500"/>
          <a:ext cx="8143875" cy="4543425"/>
        </a:xfrm>
        <a:prstGeom prst="rect">
          <a:avLst/>
        </a:prstGeom>
        <a:noFill/>
        <a:ln w="9525">
          <a:noFill/>
        </a:ln>
      </xdr:spPr>
    </xdr:pic>
    <xdr:clientData/>
  </xdr:twoCellAnchor>
  <xdr:twoCellAnchor editAs="oneCell">
    <xdr:from>
      <xdr:col>0</xdr:col>
      <xdr:colOff>0</xdr:colOff>
      <xdr:row>0</xdr:row>
      <xdr:rowOff>0</xdr:rowOff>
    </xdr:from>
    <xdr:to>
      <xdr:col>12</xdr:col>
      <xdr:colOff>409575</xdr:colOff>
      <xdr:row>7</xdr:row>
      <xdr:rowOff>57150</xdr:rowOff>
    </xdr:to>
    <xdr:pic>
      <xdr:nvPicPr>
        <xdr:cNvPr id="749" name="ID_67E524CC6999442B986A84CF937E82F8"/>
        <xdr:cNvPicPr>
          <a:picLocks noChangeAspect="1"/>
        </xdr:cNvPicPr>
      </xdr:nvPicPr>
      <xdr:blipFill>
        <a:blip r:embed="rId352"/>
        <a:stretch>
          <a:fillRect/>
        </a:stretch>
      </xdr:blipFill>
      <xdr:spPr>
        <a:xfrm>
          <a:off x="17868265" y="21278850"/>
          <a:ext cx="8639175" cy="1323975"/>
        </a:xfrm>
        <a:prstGeom prst="rect">
          <a:avLst/>
        </a:prstGeom>
        <a:noFill/>
        <a:ln w="9525">
          <a:noFill/>
        </a:ln>
      </xdr:spPr>
    </xdr:pic>
    <xdr:clientData/>
  </xdr:twoCellAnchor>
  <xdr:twoCellAnchor editAs="oneCell">
    <xdr:from>
      <xdr:col>0</xdr:col>
      <xdr:colOff>0</xdr:colOff>
      <xdr:row>0</xdr:row>
      <xdr:rowOff>0</xdr:rowOff>
    </xdr:from>
    <xdr:to>
      <xdr:col>12</xdr:col>
      <xdr:colOff>266700</xdr:colOff>
      <xdr:row>17</xdr:row>
      <xdr:rowOff>66675</xdr:rowOff>
    </xdr:to>
    <xdr:pic>
      <xdr:nvPicPr>
        <xdr:cNvPr id="750" name="ID_F636FC85B3ED44F9A4AF8F3DDA28FC14"/>
        <xdr:cNvPicPr>
          <a:picLocks noChangeAspect="1"/>
        </xdr:cNvPicPr>
      </xdr:nvPicPr>
      <xdr:blipFill>
        <a:blip r:embed="rId353"/>
        <a:stretch>
          <a:fillRect/>
        </a:stretch>
      </xdr:blipFill>
      <xdr:spPr>
        <a:xfrm>
          <a:off x="17868265" y="1790700"/>
          <a:ext cx="8496300" cy="3143250"/>
        </a:xfrm>
        <a:prstGeom prst="rect">
          <a:avLst/>
        </a:prstGeom>
        <a:noFill/>
        <a:ln w="9525">
          <a:noFill/>
        </a:ln>
      </xdr:spPr>
    </xdr:pic>
    <xdr:clientData/>
  </xdr:twoCellAnchor>
  <xdr:twoCellAnchor editAs="oneCell">
    <xdr:from>
      <xdr:col>0</xdr:col>
      <xdr:colOff>0</xdr:colOff>
      <xdr:row>0</xdr:row>
      <xdr:rowOff>0</xdr:rowOff>
    </xdr:from>
    <xdr:to>
      <xdr:col>12</xdr:col>
      <xdr:colOff>219075</xdr:colOff>
      <xdr:row>21</xdr:row>
      <xdr:rowOff>133350</xdr:rowOff>
    </xdr:to>
    <xdr:pic>
      <xdr:nvPicPr>
        <xdr:cNvPr id="751" name="ID_E1900A947715469287B07357B2CE859B"/>
        <xdr:cNvPicPr>
          <a:picLocks noChangeAspect="1"/>
        </xdr:cNvPicPr>
      </xdr:nvPicPr>
      <xdr:blipFill>
        <a:blip r:embed="rId354"/>
        <a:stretch>
          <a:fillRect/>
        </a:stretch>
      </xdr:blipFill>
      <xdr:spPr>
        <a:xfrm>
          <a:off x="17868265" y="2628900"/>
          <a:ext cx="8448675" cy="3933825"/>
        </a:xfrm>
        <a:prstGeom prst="rect">
          <a:avLst/>
        </a:prstGeom>
        <a:noFill/>
        <a:ln w="9525">
          <a:noFill/>
        </a:ln>
      </xdr:spPr>
    </xdr:pic>
    <xdr:clientData/>
  </xdr:twoCellAnchor>
  <xdr:twoCellAnchor editAs="oneCell">
    <xdr:from>
      <xdr:col>0</xdr:col>
      <xdr:colOff>0</xdr:colOff>
      <xdr:row>0</xdr:row>
      <xdr:rowOff>0</xdr:rowOff>
    </xdr:from>
    <xdr:to>
      <xdr:col>12</xdr:col>
      <xdr:colOff>381000</xdr:colOff>
      <xdr:row>18</xdr:row>
      <xdr:rowOff>19050</xdr:rowOff>
    </xdr:to>
    <xdr:pic>
      <xdr:nvPicPr>
        <xdr:cNvPr id="752" name="ID_A104F634A3524F479B410C21721E3B8B"/>
        <xdr:cNvPicPr>
          <a:picLocks noChangeAspect="1"/>
        </xdr:cNvPicPr>
      </xdr:nvPicPr>
      <xdr:blipFill>
        <a:blip r:embed="rId355"/>
        <a:stretch>
          <a:fillRect/>
        </a:stretch>
      </xdr:blipFill>
      <xdr:spPr>
        <a:xfrm>
          <a:off x="17868265" y="22326600"/>
          <a:ext cx="8610600" cy="3276600"/>
        </a:xfrm>
        <a:prstGeom prst="rect">
          <a:avLst/>
        </a:prstGeom>
        <a:noFill/>
        <a:ln w="9525">
          <a:noFill/>
        </a:ln>
      </xdr:spPr>
    </xdr:pic>
    <xdr:clientData/>
  </xdr:twoCellAnchor>
  <xdr:twoCellAnchor editAs="oneCell">
    <xdr:from>
      <xdr:col>0</xdr:col>
      <xdr:colOff>0</xdr:colOff>
      <xdr:row>0</xdr:row>
      <xdr:rowOff>0</xdr:rowOff>
    </xdr:from>
    <xdr:to>
      <xdr:col>12</xdr:col>
      <xdr:colOff>361950</xdr:colOff>
      <xdr:row>6</xdr:row>
      <xdr:rowOff>133350</xdr:rowOff>
    </xdr:to>
    <xdr:pic>
      <xdr:nvPicPr>
        <xdr:cNvPr id="753" name="ID_BC79BAC4D51C4B2BB5BA7055BD37AD97"/>
        <xdr:cNvPicPr>
          <a:picLocks noChangeAspect="1"/>
        </xdr:cNvPicPr>
      </xdr:nvPicPr>
      <xdr:blipFill>
        <a:blip r:embed="rId356"/>
        <a:stretch>
          <a:fillRect/>
        </a:stretch>
      </xdr:blipFill>
      <xdr:spPr>
        <a:xfrm>
          <a:off x="17868265" y="2209800"/>
          <a:ext cx="8591550" cy="1219200"/>
        </a:xfrm>
        <a:prstGeom prst="rect">
          <a:avLst/>
        </a:prstGeom>
        <a:noFill/>
        <a:ln w="9525">
          <a:noFill/>
        </a:ln>
      </xdr:spPr>
    </xdr:pic>
    <xdr:clientData/>
  </xdr:twoCellAnchor>
  <xdr:twoCellAnchor editAs="oneCell">
    <xdr:from>
      <xdr:col>0</xdr:col>
      <xdr:colOff>0</xdr:colOff>
      <xdr:row>0</xdr:row>
      <xdr:rowOff>0</xdr:rowOff>
    </xdr:from>
    <xdr:to>
      <xdr:col>12</xdr:col>
      <xdr:colOff>409575</xdr:colOff>
      <xdr:row>12</xdr:row>
      <xdr:rowOff>9525</xdr:rowOff>
    </xdr:to>
    <xdr:pic>
      <xdr:nvPicPr>
        <xdr:cNvPr id="754" name="ID_E47B2841793A4F54846F87E45DB2E729"/>
        <xdr:cNvPicPr>
          <a:picLocks noChangeAspect="1"/>
        </xdr:cNvPicPr>
      </xdr:nvPicPr>
      <xdr:blipFill>
        <a:blip r:embed="rId357"/>
        <a:stretch>
          <a:fillRect/>
        </a:stretch>
      </xdr:blipFill>
      <xdr:spPr>
        <a:xfrm>
          <a:off x="17868265" y="3048000"/>
          <a:ext cx="8639175" cy="2181225"/>
        </a:xfrm>
        <a:prstGeom prst="rect">
          <a:avLst/>
        </a:prstGeom>
        <a:noFill/>
        <a:ln w="9525">
          <a:noFill/>
        </a:ln>
      </xdr:spPr>
    </xdr:pic>
    <xdr:clientData/>
  </xdr:twoCellAnchor>
  <xdr:twoCellAnchor editAs="oneCell">
    <xdr:from>
      <xdr:col>0</xdr:col>
      <xdr:colOff>0</xdr:colOff>
      <xdr:row>0</xdr:row>
      <xdr:rowOff>0</xdr:rowOff>
    </xdr:from>
    <xdr:to>
      <xdr:col>12</xdr:col>
      <xdr:colOff>533400</xdr:colOff>
      <xdr:row>7</xdr:row>
      <xdr:rowOff>47625</xdr:rowOff>
    </xdr:to>
    <xdr:pic>
      <xdr:nvPicPr>
        <xdr:cNvPr id="755" name="ID_3B974D1D38694B52B626E5900ADFB51E"/>
        <xdr:cNvPicPr>
          <a:picLocks noChangeAspect="1"/>
        </xdr:cNvPicPr>
      </xdr:nvPicPr>
      <xdr:blipFill>
        <a:blip r:embed="rId358"/>
        <a:stretch>
          <a:fillRect/>
        </a:stretch>
      </xdr:blipFill>
      <xdr:spPr>
        <a:xfrm>
          <a:off x="17868265" y="12687300"/>
          <a:ext cx="8763000" cy="1314450"/>
        </a:xfrm>
        <a:prstGeom prst="rect">
          <a:avLst/>
        </a:prstGeom>
        <a:noFill/>
        <a:ln w="9525">
          <a:noFill/>
        </a:ln>
      </xdr:spPr>
    </xdr:pic>
    <xdr:clientData/>
  </xdr:twoCellAnchor>
  <xdr:twoCellAnchor editAs="oneCell">
    <xdr:from>
      <xdr:col>0</xdr:col>
      <xdr:colOff>0</xdr:colOff>
      <xdr:row>0</xdr:row>
      <xdr:rowOff>0</xdr:rowOff>
    </xdr:from>
    <xdr:to>
      <xdr:col>12</xdr:col>
      <xdr:colOff>266700</xdr:colOff>
      <xdr:row>17</xdr:row>
      <xdr:rowOff>28575</xdr:rowOff>
    </xdr:to>
    <xdr:pic>
      <xdr:nvPicPr>
        <xdr:cNvPr id="756" name="ID_C0149EF4BDD949DD8A9555AF07584E1C"/>
        <xdr:cNvPicPr>
          <a:picLocks noChangeAspect="1"/>
        </xdr:cNvPicPr>
      </xdr:nvPicPr>
      <xdr:blipFill>
        <a:blip r:embed="rId359"/>
        <a:stretch>
          <a:fillRect/>
        </a:stretch>
      </xdr:blipFill>
      <xdr:spPr>
        <a:xfrm>
          <a:off x="17868265" y="22745700"/>
          <a:ext cx="8496300" cy="3105150"/>
        </a:xfrm>
        <a:prstGeom prst="rect">
          <a:avLst/>
        </a:prstGeom>
        <a:noFill/>
        <a:ln w="9525">
          <a:noFill/>
        </a:ln>
      </xdr:spPr>
    </xdr:pic>
    <xdr:clientData/>
  </xdr:twoCellAnchor>
  <xdr:twoCellAnchor editAs="oneCell">
    <xdr:from>
      <xdr:col>0</xdr:col>
      <xdr:colOff>0</xdr:colOff>
      <xdr:row>0</xdr:row>
      <xdr:rowOff>0</xdr:rowOff>
    </xdr:from>
    <xdr:to>
      <xdr:col>11</xdr:col>
      <xdr:colOff>438150</xdr:colOff>
      <xdr:row>17</xdr:row>
      <xdr:rowOff>142875</xdr:rowOff>
    </xdr:to>
    <xdr:pic>
      <xdr:nvPicPr>
        <xdr:cNvPr id="757" name="ID_1266F11424BC4B3C90917FF5BFAB863E"/>
        <xdr:cNvPicPr>
          <a:picLocks noChangeAspect="1"/>
        </xdr:cNvPicPr>
      </xdr:nvPicPr>
      <xdr:blipFill>
        <a:blip r:embed="rId360"/>
        <a:stretch>
          <a:fillRect/>
        </a:stretch>
      </xdr:blipFill>
      <xdr:spPr>
        <a:xfrm>
          <a:off x="17868265" y="23793450"/>
          <a:ext cx="7981950" cy="3219450"/>
        </a:xfrm>
        <a:prstGeom prst="rect">
          <a:avLst/>
        </a:prstGeom>
        <a:noFill/>
        <a:ln w="9525">
          <a:noFill/>
        </a:ln>
      </xdr:spPr>
    </xdr:pic>
    <xdr:clientData/>
  </xdr:twoCellAnchor>
  <xdr:twoCellAnchor editAs="oneCell">
    <xdr:from>
      <xdr:col>0</xdr:col>
      <xdr:colOff>0</xdr:colOff>
      <xdr:row>0</xdr:row>
      <xdr:rowOff>0</xdr:rowOff>
    </xdr:from>
    <xdr:to>
      <xdr:col>12</xdr:col>
      <xdr:colOff>190500</xdr:colOff>
      <xdr:row>11</xdr:row>
      <xdr:rowOff>114300</xdr:rowOff>
    </xdr:to>
    <xdr:pic>
      <xdr:nvPicPr>
        <xdr:cNvPr id="758" name="ID_9EC67ACD11A8407EAF95ADCF0291D3F7"/>
        <xdr:cNvPicPr>
          <a:picLocks noChangeAspect="1"/>
        </xdr:cNvPicPr>
      </xdr:nvPicPr>
      <xdr:blipFill>
        <a:blip r:embed="rId361"/>
        <a:stretch>
          <a:fillRect/>
        </a:stretch>
      </xdr:blipFill>
      <xdr:spPr>
        <a:xfrm>
          <a:off x="17868265" y="3886200"/>
          <a:ext cx="8420100" cy="2105025"/>
        </a:xfrm>
        <a:prstGeom prst="rect">
          <a:avLst/>
        </a:prstGeom>
        <a:noFill/>
        <a:ln w="9525">
          <a:noFill/>
        </a:ln>
      </xdr:spPr>
    </xdr:pic>
    <xdr:clientData/>
  </xdr:twoCellAnchor>
  <xdr:twoCellAnchor editAs="oneCell">
    <xdr:from>
      <xdr:col>0</xdr:col>
      <xdr:colOff>0</xdr:colOff>
      <xdr:row>0</xdr:row>
      <xdr:rowOff>0</xdr:rowOff>
    </xdr:from>
    <xdr:to>
      <xdr:col>12</xdr:col>
      <xdr:colOff>276225</xdr:colOff>
      <xdr:row>25</xdr:row>
      <xdr:rowOff>19050</xdr:rowOff>
    </xdr:to>
    <xdr:pic>
      <xdr:nvPicPr>
        <xdr:cNvPr id="759" name="ID_992F8D9FDAAD4228BC8D7A0BD437FAED"/>
        <xdr:cNvPicPr>
          <a:picLocks noChangeAspect="1"/>
        </xdr:cNvPicPr>
      </xdr:nvPicPr>
      <xdr:blipFill>
        <a:blip r:embed="rId362"/>
        <a:stretch>
          <a:fillRect/>
        </a:stretch>
      </xdr:blipFill>
      <xdr:spPr>
        <a:xfrm>
          <a:off x="17868265" y="13525500"/>
          <a:ext cx="8505825" cy="4543425"/>
        </a:xfrm>
        <a:prstGeom prst="rect">
          <a:avLst/>
        </a:prstGeom>
        <a:noFill/>
        <a:ln w="9525">
          <a:noFill/>
        </a:ln>
      </xdr:spPr>
    </xdr:pic>
    <xdr:clientData/>
  </xdr:twoCellAnchor>
  <xdr:twoCellAnchor editAs="oneCell">
    <xdr:from>
      <xdr:col>0</xdr:col>
      <xdr:colOff>0</xdr:colOff>
      <xdr:row>0</xdr:row>
      <xdr:rowOff>0</xdr:rowOff>
    </xdr:from>
    <xdr:to>
      <xdr:col>12</xdr:col>
      <xdr:colOff>266700</xdr:colOff>
      <xdr:row>11</xdr:row>
      <xdr:rowOff>66675</xdr:rowOff>
    </xdr:to>
    <xdr:pic>
      <xdr:nvPicPr>
        <xdr:cNvPr id="760" name="ID_B34587D33B7E41E4857861CCB2243062"/>
        <xdr:cNvPicPr>
          <a:picLocks noChangeAspect="1"/>
        </xdr:cNvPicPr>
      </xdr:nvPicPr>
      <xdr:blipFill>
        <a:blip r:embed="rId363"/>
        <a:stretch>
          <a:fillRect/>
        </a:stretch>
      </xdr:blipFill>
      <xdr:spPr>
        <a:xfrm>
          <a:off x="17868265" y="3467100"/>
          <a:ext cx="8496300" cy="2057400"/>
        </a:xfrm>
        <a:prstGeom prst="rect">
          <a:avLst/>
        </a:prstGeom>
        <a:noFill/>
        <a:ln w="9525">
          <a:noFill/>
        </a:ln>
      </xdr:spPr>
    </xdr:pic>
    <xdr:clientData/>
  </xdr:twoCellAnchor>
  <xdr:twoCellAnchor editAs="oneCell">
    <xdr:from>
      <xdr:col>0</xdr:col>
      <xdr:colOff>0</xdr:colOff>
      <xdr:row>0</xdr:row>
      <xdr:rowOff>0</xdr:rowOff>
    </xdr:from>
    <xdr:to>
      <xdr:col>12</xdr:col>
      <xdr:colOff>104775</xdr:colOff>
      <xdr:row>9</xdr:row>
      <xdr:rowOff>142875</xdr:rowOff>
    </xdr:to>
    <xdr:pic>
      <xdr:nvPicPr>
        <xdr:cNvPr id="761" name="ID_C36844894E244F7F9314CFBD0BDF8608"/>
        <xdr:cNvPicPr>
          <a:picLocks noChangeAspect="1"/>
        </xdr:cNvPicPr>
      </xdr:nvPicPr>
      <xdr:blipFill>
        <a:blip r:embed="rId364"/>
        <a:stretch>
          <a:fillRect/>
        </a:stretch>
      </xdr:blipFill>
      <xdr:spPr>
        <a:xfrm>
          <a:off x="17868265" y="4305300"/>
          <a:ext cx="8334375" cy="1771650"/>
        </a:xfrm>
        <a:prstGeom prst="rect">
          <a:avLst/>
        </a:prstGeom>
        <a:noFill/>
        <a:ln w="9525">
          <a:noFill/>
        </a:ln>
      </xdr:spPr>
    </xdr:pic>
    <xdr:clientData/>
  </xdr:twoCellAnchor>
  <xdr:twoCellAnchor editAs="oneCell">
    <xdr:from>
      <xdr:col>0</xdr:col>
      <xdr:colOff>0</xdr:colOff>
      <xdr:row>0</xdr:row>
      <xdr:rowOff>0</xdr:rowOff>
    </xdr:from>
    <xdr:to>
      <xdr:col>12</xdr:col>
      <xdr:colOff>209550</xdr:colOff>
      <xdr:row>17</xdr:row>
      <xdr:rowOff>47625</xdr:rowOff>
    </xdr:to>
    <xdr:pic>
      <xdr:nvPicPr>
        <xdr:cNvPr id="762" name="ID_E3006F63DAD84C5EB6A3C968F6983F0C"/>
        <xdr:cNvPicPr>
          <a:picLocks noChangeAspect="1"/>
        </xdr:cNvPicPr>
      </xdr:nvPicPr>
      <xdr:blipFill>
        <a:blip r:embed="rId365"/>
        <a:stretch>
          <a:fillRect/>
        </a:stretch>
      </xdr:blipFill>
      <xdr:spPr>
        <a:xfrm>
          <a:off x="17868265" y="24212550"/>
          <a:ext cx="8439150" cy="3124200"/>
        </a:xfrm>
        <a:prstGeom prst="rect">
          <a:avLst/>
        </a:prstGeom>
        <a:noFill/>
        <a:ln w="9525">
          <a:noFill/>
        </a:ln>
      </xdr:spPr>
    </xdr:pic>
    <xdr:clientData/>
  </xdr:twoCellAnchor>
  <xdr:twoCellAnchor editAs="oneCell">
    <xdr:from>
      <xdr:col>0</xdr:col>
      <xdr:colOff>0</xdr:colOff>
      <xdr:row>0</xdr:row>
      <xdr:rowOff>0</xdr:rowOff>
    </xdr:from>
    <xdr:to>
      <xdr:col>12</xdr:col>
      <xdr:colOff>466725</xdr:colOff>
      <xdr:row>12</xdr:row>
      <xdr:rowOff>123825</xdr:rowOff>
    </xdr:to>
    <xdr:pic>
      <xdr:nvPicPr>
        <xdr:cNvPr id="763" name="ID_F6AC47E2DD41443D9B5E93FD03424A5A"/>
        <xdr:cNvPicPr>
          <a:picLocks noChangeAspect="1"/>
        </xdr:cNvPicPr>
      </xdr:nvPicPr>
      <xdr:blipFill>
        <a:blip r:embed="rId366"/>
        <a:stretch>
          <a:fillRect/>
        </a:stretch>
      </xdr:blipFill>
      <xdr:spPr>
        <a:xfrm>
          <a:off x="17868265" y="4724400"/>
          <a:ext cx="8696325" cy="2295525"/>
        </a:xfrm>
        <a:prstGeom prst="rect">
          <a:avLst/>
        </a:prstGeom>
        <a:noFill/>
        <a:ln w="9525">
          <a:noFill/>
        </a:ln>
      </xdr:spPr>
    </xdr:pic>
    <xdr:clientData/>
  </xdr:twoCellAnchor>
  <xdr:twoCellAnchor editAs="oneCell">
    <xdr:from>
      <xdr:col>0</xdr:col>
      <xdr:colOff>0</xdr:colOff>
      <xdr:row>0</xdr:row>
      <xdr:rowOff>0</xdr:rowOff>
    </xdr:from>
    <xdr:to>
      <xdr:col>12</xdr:col>
      <xdr:colOff>161925</xdr:colOff>
      <xdr:row>12</xdr:row>
      <xdr:rowOff>9525</xdr:rowOff>
    </xdr:to>
    <xdr:pic>
      <xdr:nvPicPr>
        <xdr:cNvPr id="764" name="ID_8338ACCD40BE48B7B08EDB8A3C1FC174"/>
        <xdr:cNvPicPr>
          <a:picLocks noChangeAspect="1"/>
        </xdr:cNvPicPr>
      </xdr:nvPicPr>
      <xdr:blipFill>
        <a:blip r:embed="rId367"/>
        <a:stretch>
          <a:fillRect/>
        </a:stretch>
      </xdr:blipFill>
      <xdr:spPr>
        <a:xfrm>
          <a:off x="17868265" y="14363700"/>
          <a:ext cx="8391525" cy="2181225"/>
        </a:xfrm>
        <a:prstGeom prst="rect">
          <a:avLst/>
        </a:prstGeom>
        <a:noFill/>
        <a:ln w="9525">
          <a:noFill/>
        </a:ln>
      </xdr:spPr>
    </xdr:pic>
    <xdr:clientData/>
  </xdr:twoCellAnchor>
  <xdr:twoCellAnchor editAs="oneCell">
    <xdr:from>
      <xdr:col>0</xdr:col>
      <xdr:colOff>0</xdr:colOff>
      <xdr:row>0</xdr:row>
      <xdr:rowOff>0</xdr:rowOff>
    </xdr:from>
    <xdr:to>
      <xdr:col>12</xdr:col>
      <xdr:colOff>295275</xdr:colOff>
      <xdr:row>8</xdr:row>
      <xdr:rowOff>95250</xdr:rowOff>
    </xdr:to>
    <xdr:pic>
      <xdr:nvPicPr>
        <xdr:cNvPr id="765" name="ID_726BE09243F043A9BA87488718D3D6CE"/>
        <xdr:cNvPicPr>
          <a:picLocks noChangeAspect="1"/>
        </xdr:cNvPicPr>
      </xdr:nvPicPr>
      <xdr:blipFill>
        <a:blip r:embed="rId368"/>
        <a:stretch>
          <a:fillRect/>
        </a:stretch>
      </xdr:blipFill>
      <xdr:spPr>
        <a:xfrm>
          <a:off x="17868265" y="25050750"/>
          <a:ext cx="8524875" cy="1543050"/>
        </a:xfrm>
        <a:prstGeom prst="rect">
          <a:avLst/>
        </a:prstGeom>
        <a:noFill/>
        <a:ln w="9525">
          <a:noFill/>
        </a:ln>
      </xdr:spPr>
    </xdr:pic>
    <xdr:clientData/>
  </xdr:twoCellAnchor>
  <xdr:twoCellAnchor editAs="oneCell">
    <xdr:from>
      <xdr:col>0</xdr:col>
      <xdr:colOff>0</xdr:colOff>
      <xdr:row>0</xdr:row>
      <xdr:rowOff>0</xdr:rowOff>
    </xdr:from>
    <xdr:to>
      <xdr:col>6</xdr:col>
      <xdr:colOff>238125</xdr:colOff>
      <xdr:row>5</xdr:row>
      <xdr:rowOff>171450</xdr:rowOff>
    </xdr:to>
    <xdr:pic>
      <xdr:nvPicPr>
        <xdr:cNvPr id="766" name="ID_EC2B0E053A1D43A4BC81F585186C4781"/>
        <xdr:cNvPicPr>
          <a:picLocks noChangeAspect="1"/>
        </xdr:cNvPicPr>
      </xdr:nvPicPr>
      <xdr:blipFill>
        <a:blip r:embed="rId369"/>
        <a:stretch>
          <a:fillRect/>
        </a:stretch>
      </xdr:blipFill>
      <xdr:spPr>
        <a:xfrm>
          <a:off x="17868265" y="5143500"/>
          <a:ext cx="4352925" cy="1076325"/>
        </a:xfrm>
        <a:prstGeom prst="rect">
          <a:avLst/>
        </a:prstGeom>
        <a:noFill/>
        <a:ln w="9525">
          <a:noFill/>
        </a:ln>
      </xdr:spPr>
    </xdr:pic>
    <xdr:clientData/>
  </xdr:twoCellAnchor>
  <xdr:twoCellAnchor editAs="oneCell">
    <xdr:from>
      <xdr:col>0</xdr:col>
      <xdr:colOff>0</xdr:colOff>
      <xdr:row>0</xdr:row>
      <xdr:rowOff>0</xdr:rowOff>
    </xdr:from>
    <xdr:to>
      <xdr:col>12</xdr:col>
      <xdr:colOff>381000</xdr:colOff>
      <xdr:row>10</xdr:row>
      <xdr:rowOff>0</xdr:rowOff>
    </xdr:to>
    <xdr:pic>
      <xdr:nvPicPr>
        <xdr:cNvPr id="767" name="ID_4F9572CEB607495ABB2CE929FF12D6F7"/>
        <xdr:cNvPicPr>
          <a:picLocks noChangeAspect="1"/>
        </xdr:cNvPicPr>
      </xdr:nvPicPr>
      <xdr:blipFill>
        <a:blip r:embed="rId370"/>
        <a:stretch>
          <a:fillRect/>
        </a:stretch>
      </xdr:blipFill>
      <xdr:spPr>
        <a:xfrm>
          <a:off x="17868265" y="25469850"/>
          <a:ext cx="8610600" cy="1809750"/>
        </a:xfrm>
        <a:prstGeom prst="rect">
          <a:avLst/>
        </a:prstGeom>
        <a:noFill/>
        <a:ln w="9525">
          <a:noFill/>
        </a:ln>
      </xdr:spPr>
    </xdr:pic>
    <xdr:clientData/>
  </xdr:twoCellAnchor>
  <xdr:twoCellAnchor editAs="oneCell">
    <xdr:from>
      <xdr:col>0</xdr:col>
      <xdr:colOff>0</xdr:colOff>
      <xdr:row>0</xdr:row>
      <xdr:rowOff>0</xdr:rowOff>
    </xdr:from>
    <xdr:to>
      <xdr:col>12</xdr:col>
      <xdr:colOff>295275</xdr:colOff>
      <xdr:row>7</xdr:row>
      <xdr:rowOff>95250</xdr:rowOff>
    </xdr:to>
    <xdr:pic>
      <xdr:nvPicPr>
        <xdr:cNvPr id="768" name="ID_6317C1A92A824604B378521DCF08DF78"/>
        <xdr:cNvPicPr>
          <a:picLocks noChangeAspect="1"/>
        </xdr:cNvPicPr>
      </xdr:nvPicPr>
      <xdr:blipFill>
        <a:blip r:embed="rId371"/>
        <a:stretch>
          <a:fillRect/>
        </a:stretch>
      </xdr:blipFill>
      <xdr:spPr>
        <a:xfrm>
          <a:off x="17868265" y="5562600"/>
          <a:ext cx="8524875" cy="1362075"/>
        </a:xfrm>
        <a:prstGeom prst="rect">
          <a:avLst/>
        </a:prstGeom>
        <a:noFill/>
        <a:ln w="9525">
          <a:noFill/>
        </a:ln>
      </xdr:spPr>
    </xdr:pic>
    <xdr:clientData/>
  </xdr:twoCellAnchor>
  <xdr:twoCellAnchor editAs="oneCell">
    <xdr:from>
      <xdr:col>0</xdr:col>
      <xdr:colOff>0</xdr:colOff>
      <xdr:row>0</xdr:row>
      <xdr:rowOff>0</xdr:rowOff>
    </xdr:from>
    <xdr:to>
      <xdr:col>12</xdr:col>
      <xdr:colOff>247650</xdr:colOff>
      <xdr:row>12</xdr:row>
      <xdr:rowOff>104775</xdr:rowOff>
    </xdr:to>
    <xdr:pic>
      <xdr:nvPicPr>
        <xdr:cNvPr id="769" name="ID_B86E0B4900DA46D3ABB0A82462475652"/>
        <xdr:cNvPicPr>
          <a:picLocks noChangeAspect="1"/>
        </xdr:cNvPicPr>
      </xdr:nvPicPr>
      <xdr:blipFill>
        <a:blip r:embed="rId372"/>
        <a:stretch>
          <a:fillRect/>
        </a:stretch>
      </xdr:blipFill>
      <xdr:spPr>
        <a:xfrm>
          <a:off x="17868265" y="15201900"/>
          <a:ext cx="8477250" cy="2276475"/>
        </a:xfrm>
        <a:prstGeom prst="rect">
          <a:avLst/>
        </a:prstGeom>
        <a:noFill/>
        <a:ln w="9525">
          <a:noFill/>
        </a:ln>
      </xdr:spPr>
    </xdr:pic>
    <xdr:clientData/>
  </xdr:twoCellAnchor>
  <xdr:twoCellAnchor editAs="oneCell">
    <xdr:from>
      <xdr:col>0</xdr:col>
      <xdr:colOff>0</xdr:colOff>
      <xdr:row>0</xdr:row>
      <xdr:rowOff>0</xdr:rowOff>
    </xdr:from>
    <xdr:to>
      <xdr:col>12</xdr:col>
      <xdr:colOff>390525</xdr:colOff>
      <xdr:row>21</xdr:row>
      <xdr:rowOff>123825</xdr:rowOff>
    </xdr:to>
    <xdr:pic>
      <xdr:nvPicPr>
        <xdr:cNvPr id="770" name="ID_309D1AC5632E45258DD33AE062822D2C"/>
        <xdr:cNvPicPr>
          <a:picLocks noChangeAspect="1"/>
        </xdr:cNvPicPr>
      </xdr:nvPicPr>
      <xdr:blipFill>
        <a:blip r:embed="rId373"/>
        <a:stretch>
          <a:fillRect/>
        </a:stretch>
      </xdr:blipFill>
      <xdr:spPr>
        <a:xfrm>
          <a:off x="17868265" y="5981700"/>
          <a:ext cx="8620125" cy="3924300"/>
        </a:xfrm>
        <a:prstGeom prst="rect">
          <a:avLst/>
        </a:prstGeom>
        <a:noFill/>
        <a:ln w="9525">
          <a:noFill/>
        </a:ln>
      </xdr:spPr>
    </xdr:pic>
    <xdr:clientData/>
  </xdr:twoCellAnchor>
  <xdr:twoCellAnchor editAs="oneCell">
    <xdr:from>
      <xdr:col>0</xdr:col>
      <xdr:colOff>0</xdr:colOff>
      <xdr:row>0</xdr:row>
      <xdr:rowOff>0</xdr:rowOff>
    </xdr:from>
    <xdr:to>
      <xdr:col>12</xdr:col>
      <xdr:colOff>409575</xdr:colOff>
      <xdr:row>13</xdr:row>
      <xdr:rowOff>171450</xdr:rowOff>
    </xdr:to>
    <xdr:pic>
      <xdr:nvPicPr>
        <xdr:cNvPr id="771" name="ID_DDD7CDAB453B4A24B55B6D0748B56C23"/>
        <xdr:cNvPicPr>
          <a:picLocks noChangeAspect="1"/>
        </xdr:cNvPicPr>
      </xdr:nvPicPr>
      <xdr:blipFill>
        <a:blip r:embed="rId374"/>
        <a:stretch>
          <a:fillRect/>
        </a:stretch>
      </xdr:blipFill>
      <xdr:spPr>
        <a:xfrm>
          <a:off x="17868265" y="6400800"/>
          <a:ext cx="8639175" cy="2524125"/>
        </a:xfrm>
        <a:prstGeom prst="rect">
          <a:avLst/>
        </a:prstGeom>
        <a:noFill/>
        <a:ln w="9525">
          <a:noFill/>
        </a:ln>
      </xdr:spPr>
    </xdr:pic>
    <xdr:clientData/>
  </xdr:twoCellAnchor>
  <xdr:twoCellAnchor editAs="oneCell">
    <xdr:from>
      <xdr:col>0</xdr:col>
      <xdr:colOff>0</xdr:colOff>
      <xdr:row>0</xdr:row>
      <xdr:rowOff>0</xdr:rowOff>
    </xdr:from>
    <xdr:to>
      <xdr:col>13</xdr:col>
      <xdr:colOff>371475</xdr:colOff>
      <xdr:row>15</xdr:row>
      <xdr:rowOff>47625</xdr:rowOff>
    </xdr:to>
    <xdr:pic>
      <xdr:nvPicPr>
        <xdr:cNvPr id="772" name="ID_D294CD1870A24B42A86238D4D776DD4D"/>
        <xdr:cNvPicPr>
          <a:picLocks noChangeAspect="1"/>
        </xdr:cNvPicPr>
      </xdr:nvPicPr>
      <xdr:blipFill>
        <a:blip r:embed="rId375"/>
        <a:stretch>
          <a:fillRect/>
        </a:stretch>
      </xdr:blipFill>
      <xdr:spPr>
        <a:xfrm>
          <a:off x="17868265" y="26936700"/>
          <a:ext cx="9286875" cy="2762250"/>
        </a:xfrm>
        <a:prstGeom prst="rect">
          <a:avLst/>
        </a:prstGeom>
        <a:noFill/>
        <a:ln w="9525">
          <a:noFill/>
        </a:ln>
      </xdr:spPr>
    </xdr:pic>
    <xdr:clientData/>
  </xdr:twoCellAnchor>
  <xdr:twoCellAnchor editAs="oneCell">
    <xdr:from>
      <xdr:col>0</xdr:col>
      <xdr:colOff>0</xdr:colOff>
      <xdr:row>0</xdr:row>
      <xdr:rowOff>0</xdr:rowOff>
    </xdr:from>
    <xdr:to>
      <xdr:col>9</xdr:col>
      <xdr:colOff>238125</xdr:colOff>
      <xdr:row>7</xdr:row>
      <xdr:rowOff>47625</xdr:rowOff>
    </xdr:to>
    <xdr:pic>
      <xdr:nvPicPr>
        <xdr:cNvPr id="773" name="ID_391A41FD7C384053A719DC693A02D79B"/>
        <xdr:cNvPicPr>
          <a:picLocks noChangeAspect="1"/>
        </xdr:cNvPicPr>
      </xdr:nvPicPr>
      <xdr:blipFill>
        <a:blip r:embed="rId376"/>
        <a:stretch>
          <a:fillRect/>
        </a:stretch>
      </xdr:blipFill>
      <xdr:spPr>
        <a:xfrm>
          <a:off x="17868265" y="6819900"/>
          <a:ext cx="6410325" cy="1314450"/>
        </a:xfrm>
        <a:prstGeom prst="rect">
          <a:avLst/>
        </a:prstGeom>
        <a:noFill/>
        <a:ln w="9525">
          <a:noFill/>
        </a:ln>
      </xdr:spPr>
    </xdr:pic>
    <xdr:clientData/>
  </xdr:twoCellAnchor>
  <xdr:twoCellAnchor editAs="oneCell">
    <xdr:from>
      <xdr:col>0</xdr:col>
      <xdr:colOff>0</xdr:colOff>
      <xdr:row>0</xdr:row>
      <xdr:rowOff>0</xdr:rowOff>
    </xdr:from>
    <xdr:to>
      <xdr:col>13</xdr:col>
      <xdr:colOff>409575</xdr:colOff>
      <xdr:row>17</xdr:row>
      <xdr:rowOff>123825</xdr:rowOff>
    </xdr:to>
    <xdr:pic>
      <xdr:nvPicPr>
        <xdr:cNvPr id="774" name="ID_CAEF74AAE6E747A78015C52D0747B2E0"/>
        <xdr:cNvPicPr>
          <a:picLocks noChangeAspect="1"/>
        </xdr:cNvPicPr>
      </xdr:nvPicPr>
      <xdr:blipFill>
        <a:blip r:embed="rId377"/>
        <a:stretch>
          <a:fillRect/>
        </a:stretch>
      </xdr:blipFill>
      <xdr:spPr>
        <a:xfrm>
          <a:off x="17868265" y="27355800"/>
          <a:ext cx="9324975" cy="3200400"/>
        </a:xfrm>
        <a:prstGeom prst="rect">
          <a:avLst/>
        </a:prstGeom>
        <a:noFill/>
        <a:ln w="9525">
          <a:noFill/>
        </a:ln>
      </xdr:spPr>
    </xdr:pic>
    <xdr:clientData/>
  </xdr:twoCellAnchor>
  <xdr:twoCellAnchor editAs="oneCell">
    <xdr:from>
      <xdr:col>0</xdr:col>
      <xdr:colOff>0</xdr:colOff>
      <xdr:row>0</xdr:row>
      <xdr:rowOff>0</xdr:rowOff>
    </xdr:from>
    <xdr:to>
      <xdr:col>12</xdr:col>
      <xdr:colOff>257175</xdr:colOff>
      <xdr:row>15</xdr:row>
      <xdr:rowOff>9525</xdr:rowOff>
    </xdr:to>
    <xdr:pic>
      <xdr:nvPicPr>
        <xdr:cNvPr id="775" name="ID_00448BFB47A34D0BB873785034F871E4"/>
        <xdr:cNvPicPr>
          <a:picLocks noChangeAspect="1"/>
        </xdr:cNvPicPr>
      </xdr:nvPicPr>
      <xdr:blipFill>
        <a:blip r:embed="rId378"/>
        <a:stretch>
          <a:fillRect/>
        </a:stretch>
      </xdr:blipFill>
      <xdr:spPr>
        <a:xfrm>
          <a:off x="17868265" y="7239000"/>
          <a:ext cx="8486775" cy="2724150"/>
        </a:xfrm>
        <a:prstGeom prst="rect">
          <a:avLst/>
        </a:prstGeom>
        <a:noFill/>
        <a:ln w="9525">
          <a:noFill/>
        </a:ln>
      </xdr:spPr>
    </xdr:pic>
    <xdr:clientData/>
  </xdr:twoCellAnchor>
  <xdr:twoCellAnchor editAs="oneCell">
    <xdr:from>
      <xdr:col>0</xdr:col>
      <xdr:colOff>0</xdr:colOff>
      <xdr:row>0</xdr:row>
      <xdr:rowOff>0</xdr:rowOff>
    </xdr:from>
    <xdr:to>
      <xdr:col>12</xdr:col>
      <xdr:colOff>19050</xdr:colOff>
      <xdr:row>15</xdr:row>
      <xdr:rowOff>57150</xdr:rowOff>
    </xdr:to>
    <xdr:pic>
      <xdr:nvPicPr>
        <xdr:cNvPr id="776" name="ID_CB2BB9C007474199A7CC15E63EECBE65"/>
        <xdr:cNvPicPr>
          <a:picLocks noChangeAspect="1"/>
        </xdr:cNvPicPr>
      </xdr:nvPicPr>
      <xdr:blipFill>
        <a:blip r:embed="rId379"/>
        <a:stretch>
          <a:fillRect/>
        </a:stretch>
      </xdr:blipFill>
      <xdr:spPr>
        <a:xfrm>
          <a:off x="17868265" y="16878300"/>
          <a:ext cx="8248650" cy="2771775"/>
        </a:xfrm>
        <a:prstGeom prst="rect">
          <a:avLst/>
        </a:prstGeom>
        <a:noFill/>
        <a:ln w="9525">
          <a:noFill/>
        </a:ln>
      </xdr:spPr>
    </xdr:pic>
    <xdr:clientData/>
  </xdr:twoCellAnchor>
  <xdr:twoCellAnchor editAs="oneCell">
    <xdr:from>
      <xdr:col>0</xdr:col>
      <xdr:colOff>0</xdr:colOff>
      <xdr:row>0</xdr:row>
      <xdr:rowOff>0</xdr:rowOff>
    </xdr:from>
    <xdr:to>
      <xdr:col>12</xdr:col>
      <xdr:colOff>314325</xdr:colOff>
      <xdr:row>12</xdr:row>
      <xdr:rowOff>123825</xdr:rowOff>
    </xdr:to>
    <xdr:pic>
      <xdr:nvPicPr>
        <xdr:cNvPr id="777" name="ID_F101F530DB1644A895AC38562B407956"/>
        <xdr:cNvPicPr>
          <a:picLocks noChangeAspect="1"/>
        </xdr:cNvPicPr>
      </xdr:nvPicPr>
      <xdr:blipFill>
        <a:blip r:embed="rId380"/>
        <a:stretch>
          <a:fillRect/>
        </a:stretch>
      </xdr:blipFill>
      <xdr:spPr>
        <a:xfrm>
          <a:off x="17868265" y="7658100"/>
          <a:ext cx="8543925" cy="2295525"/>
        </a:xfrm>
        <a:prstGeom prst="rect">
          <a:avLst/>
        </a:prstGeom>
        <a:noFill/>
        <a:ln w="9525">
          <a:noFill/>
        </a:ln>
      </xdr:spPr>
    </xdr:pic>
    <xdr:clientData/>
  </xdr:twoCellAnchor>
  <xdr:twoCellAnchor editAs="oneCell">
    <xdr:from>
      <xdr:col>0</xdr:col>
      <xdr:colOff>0</xdr:colOff>
      <xdr:row>0</xdr:row>
      <xdr:rowOff>0</xdr:rowOff>
    </xdr:from>
    <xdr:to>
      <xdr:col>12</xdr:col>
      <xdr:colOff>238125</xdr:colOff>
      <xdr:row>12</xdr:row>
      <xdr:rowOff>57150</xdr:rowOff>
    </xdr:to>
    <xdr:pic>
      <xdr:nvPicPr>
        <xdr:cNvPr id="778" name="ID_53AA1187804E426F94428E8B10B629EF"/>
        <xdr:cNvPicPr>
          <a:picLocks noChangeAspect="1"/>
        </xdr:cNvPicPr>
      </xdr:nvPicPr>
      <xdr:blipFill>
        <a:blip r:embed="rId381"/>
        <a:stretch>
          <a:fillRect/>
        </a:stretch>
      </xdr:blipFill>
      <xdr:spPr>
        <a:xfrm>
          <a:off x="17868265" y="8077200"/>
          <a:ext cx="8467725" cy="2228850"/>
        </a:xfrm>
        <a:prstGeom prst="rect">
          <a:avLst/>
        </a:prstGeom>
        <a:noFill/>
        <a:ln w="9525">
          <a:noFill/>
        </a:ln>
      </xdr:spPr>
    </xdr:pic>
    <xdr:clientData/>
  </xdr:twoCellAnchor>
  <xdr:twoCellAnchor editAs="oneCell">
    <xdr:from>
      <xdr:col>0</xdr:col>
      <xdr:colOff>0</xdr:colOff>
      <xdr:row>0</xdr:row>
      <xdr:rowOff>0</xdr:rowOff>
    </xdr:from>
    <xdr:to>
      <xdr:col>11</xdr:col>
      <xdr:colOff>533400</xdr:colOff>
      <xdr:row>17</xdr:row>
      <xdr:rowOff>76200</xdr:rowOff>
    </xdr:to>
    <xdr:pic>
      <xdr:nvPicPr>
        <xdr:cNvPr id="779" name="ID_15253F2463274AF9B3FD2B0AAF9743DA"/>
        <xdr:cNvPicPr>
          <a:picLocks noChangeAspect="1"/>
        </xdr:cNvPicPr>
      </xdr:nvPicPr>
      <xdr:blipFill>
        <a:blip r:embed="rId382"/>
        <a:stretch>
          <a:fillRect/>
        </a:stretch>
      </xdr:blipFill>
      <xdr:spPr>
        <a:xfrm>
          <a:off x="17868265" y="17716500"/>
          <a:ext cx="8077200" cy="3152775"/>
        </a:xfrm>
        <a:prstGeom prst="rect">
          <a:avLst/>
        </a:prstGeom>
        <a:noFill/>
        <a:ln w="9525">
          <a:noFill/>
        </a:ln>
      </xdr:spPr>
    </xdr:pic>
    <xdr:clientData/>
  </xdr:twoCellAnchor>
  <xdr:twoCellAnchor editAs="oneCell">
    <xdr:from>
      <xdr:col>0</xdr:col>
      <xdr:colOff>0</xdr:colOff>
      <xdr:row>0</xdr:row>
      <xdr:rowOff>0</xdr:rowOff>
    </xdr:from>
    <xdr:to>
      <xdr:col>12</xdr:col>
      <xdr:colOff>619125</xdr:colOff>
      <xdr:row>13</xdr:row>
      <xdr:rowOff>161925</xdr:rowOff>
    </xdr:to>
    <xdr:pic>
      <xdr:nvPicPr>
        <xdr:cNvPr id="780" name="ID_12A8E8F5AB4B46EDAD2210FA3F4C64BD"/>
        <xdr:cNvPicPr>
          <a:picLocks noChangeAspect="1"/>
        </xdr:cNvPicPr>
      </xdr:nvPicPr>
      <xdr:blipFill>
        <a:blip r:embed="rId383"/>
        <a:stretch>
          <a:fillRect/>
        </a:stretch>
      </xdr:blipFill>
      <xdr:spPr>
        <a:xfrm>
          <a:off x="17868265" y="28822650"/>
          <a:ext cx="8848725" cy="2514600"/>
        </a:xfrm>
        <a:prstGeom prst="rect">
          <a:avLst/>
        </a:prstGeom>
        <a:noFill/>
        <a:ln w="9525">
          <a:noFill/>
        </a:ln>
      </xdr:spPr>
    </xdr:pic>
    <xdr:clientData/>
  </xdr:twoCellAnchor>
  <xdr:twoCellAnchor editAs="oneCell">
    <xdr:from>
      <xdr:col>0</xdr:col>
      <xdr:colOff>0</xdr:colOff>
      <xdr:row>0</xdr:row>
      <xdr:rowOff>0</xdr:rowOff>
    </xdr:from>
    <xdr:to>
      <xdr:col>12</xdr:col>
      <xdr:colOff>590550</xdr:colOff>
      <xdr:row>13</xdr:row>
      <xdr:rowOff>104775</xdr:rowOff>
    </xdr:to>
    <xdr:pic>
      <xdr:nvPicPr>
        <xdr:cNvPr id="781" name="ID_7B2FAFD9CC9B4A4E966272B2A27CC1A0"/>
        <xdr:cNvPicPr>
          <a:picLocks noChangeAspect="1"/>
        </xdr:cNvPicPr>
      </xdr:nvPicPr>
      <xdr:blipFill>
        <a:blip r:embed="rId384"/>
        <a:stretch>
          <a:fillRect/>
        </a:stretch>
      </xdr:blipFill>
      <xdr:spPr>
        <a:xfrm>
          <a:off x="17868265" y="27984450"/>
          <a:ext cx="8820150" cy="2457450"/>
        </a:xfrm>
        <a:prstGeom prst="rect">
          <a:avLst/>
        </a:prstGeom>
        <a:noFill/>
        <a:ln w="9525">
          <a:noFill/>
        </a:ln>
      </xdr:spPr>
    </xdr:pic>
    <xdr:clientData/>
  </xdr:twoCellAnchor>
  <xdr:twoCellAnchor editAs="oneCell">
    <xdr:from>
      <xdr:col>0</xdr:col>
      <xdr:colOff>0</xdr:colOff>
      <xdr:row>0</xdr:row>
      <xdr:rowOff>0</xdr:rowOff>
    </xdr:from>
    <xdr:to>
      <xdr:col>12</xdr:col>
      <xdr:colOff>295275</xdr:colOff>
      <xdr:row>15</xdr:row>
      <xdr:rowOff>133350</xdr:rowOff>
    </xdr:to>
    <xdr:pic>
      <xdr:nvPicPr>
        <xdr:cNvPr id="782" name="ID_1C061D1379DF4466963853BFE948013B"/>
        <xdr:cNvPicPr>
          <a:picLocks noChangeAspect="1"/>
        </xdr:cNvPicPr>
      </xdr:nvPicPr>
      <xdr:blipFill>
        <a:blip r:embed="rId385"/>
        <a:stretch>
          <a:fillRect/>
        </a:stretch>
      </xdr:blipFill>
      <xdr:spPr>
        <a:xfrm>
          <a:off x="17868265" y="8496300"/>
          <a:ext cx="8524875" cy="2847975"/>
        </a:xfrm>
        <a:prstGeom prst="rect">
          <a:avLst/>
        </a:prstGeom>
        <a:noFill/>
        <a:ln w="9525">
          <a:noFill/>
        </a:ln>
      </xdr:spPr>
    </xdr:pic>
    <xdr:clientData/>
  </xdr:twoCellAnchor>
  <xdr:twoCellAnchor editAs="oneCell">
    <xdr:from>
      <xdr:col>0</xdr:col>
      <xdr:colOff>0</xdr:colOff>
      <xdr:row>0</xdr:row>
      <xdr:rowOff>0</xdr:rowOff>
    </xdr:from>
    <xdr:to>
      <xdr:col>6</xdr:col>
      <xdr:colOff>19050</xdr:colOff>
      <xdr:row>7</xdr:row>
      <xdr:rowOff>57150</xdr:rowOff>
    </xdr:to>
    <xdr:pic>
      <xdr:nvPicPr>
        <xdr:cNvPr id="783" name="ID_5EEC826222D24D42A046E5F794587719"/>
        <xdr:cNvPicPr>
          <a:picLocks noChangeAspect="1"/>
        </xdr:cNvPicPr>
      </xdr:nvPicPr>
      <xdr:blipFill>
        <a:blip r:embed="rId386"/>
        <a:stretch>
          <a:fillRect/>
        </a:stretch>
      </xdr:blipFill>
      <xdr:spPr>
        <a:xfrm>
          <a:off x="17868265" y="8915400"/>
          <a:ext cx="4133850" cy="1323975"/>
        </a:xfrm>
        <a:prstGeom prst="rect">
          <a:avLst/>
        </a:prstGeom>
        <a:noFill/>
        <a:ln w="9525">
          <a:noFill/>
        </a:ln>
      </xdr:spPr>
    </xdr:pic>
    <xdr:clientData/>
  </xdr:twoCellAnchor>
  <xdr:twoCellAnchor editAs="oneCell">
    <xdr:from>
      <xdr:col>0</xdr:col>
      <xdr:colOff>0</xdr:colOff>
      <xdr:row>0</xdr:row>
      <xdr:rowOff>0</xdr:rowOff>
    </xdr:from>
    <xdr:to>
      <xdr:col>13</xdr:col>
      <xdr:colOff>28575</xdr:colOff>
      <xdr:row>15</xdr:row>
      <xdr:rowOff>142875</xdr:rowOff>
    </xdr:to>
    <xdr:pic>
      <xdr:nvPicPr>
        <xdr:cNvPr id="784" name="ID_A41F38C3301D412C876BDD3A30B32CB9"/>
        <xdr:cNvPicPr>
          <a:picLocks noChangeAspect="1"/>
        </xdr:cNvPicPr>
      </xdr:nvPicPr>
      <xdr:blipFill>
        <a:blip r:embed="rId387"/>
        <a:stretch>
          <a:fillRect/>
        </a:stretch>
      </xdr:blipFill>
      <xdr:spPr>
        <a:xfrm>
          <a:off x="17868265" y="30499050"/>
          <a:ext cx="8943975" cy="2857500"/>
        </a:xfrm>
        <a:prstGeom prst="rect">
          <a:avLst/>
        </a:prstGeom>
        <a:noFill/>
        <a:ln w="9525">
          <a:noFill/>
        </a:ln>
      </xdr:spPr>
    </xdr:pic>
    <xdr:clientData/>
  </xdr:twoCellAnchor>
  <xdr:twoCellAnchor editAs="oneCell">
    <xdr:from>
      <xdr:col>0</xdr:col>
      <xdr:colOff>0</xdr:colOff>
      <xdr:row>0</xdr:row>
      <xdr:rowOff>0</xdr:rowOff>
    </xdr:from>
    <xdr:to>
      <xdr:col>12</xdr:col>
      <xdr:colOff>0</xdr:colOff>
      <xdr:row>13</xdr:row>
      <xdr:rowOff>152400</xdr:rowOff>
    </xdr:to>
    <xdr:pic>
      <xdr:nvPicPr>
        <xdr:cNvPr id="785" name="ID_7F80FEB075574E95A5560F911F6566E1"/>
        <xdr:cNvPicPr>
          <a:picLocks noChangeAspect="1"/>
        </xdr:cNvPicPr>
      </xdr:nvPicPr>
      <xdr:blipFill>
        <a:blip r:embed="rId388"/>
        <a:stretch>
          <a:fillRect/>
        </a:stretch>
      </xdr:blipFill>
      <xdr:spPr>
        <a:xfrm>
          <a:off x="17868265" y="9334500"/>
          <a:ext cx="8229600" cy="2505075"/>
        </a:xfrm>
        <a:prstGeom prst="rect">
          <a:avLst/>
        </a:prstGeom>
        <a:noFill/>
        <a:ln w="9525">
          <a:noFill/>
        </a:ln>
      </xdr:spPr>
    </xdr:pic>
    <xdr:clientData/>
  </xdr:twoCellAnchor>
  <xdr:twoCellAnchor editAs="oneCell">
    <xdr:from>
      <xdr:col>0</xdr:col>
      <xdr:colOff>0</xdr:colOff>
      <xdr:row>0</xdr:row>
      <xdr:rowOff>0</xdr:rowOff>
    </xdr:from>
    <xdr:to>
      <xdr:col>13</xdr:col>
      <xdr:colOff>47625</xdr:colOff>
      <xdr:row>15</xdr:row>
      <xdr:rowOff>142875</xdr:rowOff>
    </xdr:to>
    <xdr:pic>
      <xdr:nvPicPr>
        <xdr:cNvPr id="786" name="ID_166E77D83B5141388F0649DC90857075"/>
        <xdr:cNvPicPr>
          <a:picLocks noChangeAspect="1"/>
        </xdr:cNvPicPr>
      </xdr:nvPicPr>
      <xdr:blipFill>
        <a:blip r:embed="rId389"/>
        <a:stretch>
          <a:fillRect/>
        </a:stretch>
      </xdr:blipFill>
      <xdr:spPr>
        <a:xfrm>
          <a:off x="17868265" y="30918150"/>
          <a:ext cx="8963025" cy="2857500"/>
        </a:xfrm>
        <a:prstGeom prst="rect">
          <a:avLst/>
        </a:prstGeom>
        <a:noFill/>
        <a:ln w="9525">
          <a:noFill/>
        </a:ln>
      </xdr:spPr>
    </xdr:pic>
    <xdr:clientData/>
  </xdr:twoCellAnchor>
  <xdr:twoCellAnchor editAs="oneCell">
    <xdr:from>
      <xdr:col>0</xdr:col>
      <xdr:colOff>0</xdr:colOff>
      <xdr:row>0</xdr:row>
      <xdr:rowOff>0</xdr:rowOff>
    </xdr:from>
    <xdr:to>
      <xdr:col>12</xdr:col>
      <xdr:colOff>66675</xdr:colOff>
      <xdr:row>14</xdr:row>
      <xdr:rowOff>9525</xdr:rowOff>
    </xdr:to>
    <xdr:pic>
      <xdr:nvPicPr>
        <xdr:cNvPr id="787" name="ID_45644359776C48098B720D778B5FB3AC"/>
        <xdr:cNvPicPr>
          <a:picLocks noChangeAspect="1"/>
        </xdr:cNvPicPr>
      </xdr:nvPicPr>
      <xdr:blipFill>
        <a:blip r:embed="rId390"/>
        <a:stretch>
          <a:fillRect/>
        </a:stretch>
      </xdr:blipFill>
      <xdr:spPr>
        <a:xfrm>
          <a:off x="17868265" y="9753600"/>
          <a:ext cx="8296275" cy="2543175"/>
        </a:xfrm>
        <a:prstGeom prst="rect">
          <a:avLst/>
        </a:prstGeom>
        <a:noFill/>
        <a:ln w="9525">
          <a:noFill/>
        </a:ln>
      </xdr:spPr>
    </xdr:pic>
    <xdr:clientData/>
  </xdr:twoCellAnchor>
  <xdr:twoCellAnchor editAs="oneCell">
    <xdr:from>
      <xdr:col>0</xdr:col>
      <xdr:colOff>0</xdr:colOff>
      <xdr:row>0</xdr:row>
      <xdr:rowOff>0</xdr:rowOff>
    </xdr:from>
    <xdr:to>
      <xdr:col>12</xdr:col>
      <xdr:colOff>276225</xdr:colOff>
      <xdr:row>21</xdr:row>
      <xdr:rowOff>152400</xdr:rowOff>
    </xdr:to>
    <xdr:pic>
      <xdr:nvPicPr>
        <xdr:cNvPr id="788" name="ID_1AB90A4189DD42EA8A161B9C337B0166"/>
        <xdr:cNvPicPr>
          <a:picLocks noChangeAspect="1"/>
        </xdr:cNvPicPr>
      </xdr:nvPicPr>
      <xdr:blipFill>
        <a:blip r:embed="rId391"/>
        <a:stretch>
          <a:fillRect/>
        </a:stretch>
      </xdr:blipFill>
      <xdr:spPr>
        <a:xfrm>
          <a:off x="17868265" y="20021550"/>
          <a:ext cx="8505825" cy="3952875"/>
        </a:xfrm>
        <a:prstGeom prst="rect">
          <a:avLst/>
        </a:prstGeom>
        <a:noFill/>
        <a:ln w="9525">
          <a:noFill/>
        </a:ln>
      </xdr:spPr>
    </xdr:pic>
    <xdr:clientData/>
  </xdr:twoCellAnchor>
  <xdr:twoCellAnchor editAs="oneCell">
    <xdr:from>
      <xdr:col>0</xdr:col>
      <xdr:colOff>0</xdr:colOff>
      <xdr:row>0</xdr:row>
      <xdr:rowOff>0</xdr:rowOff>
    </xdr:from>
    <xdr:to>
      <xdr:col>12</xdr:col>
      <xdr:colOff>38100</xdr:colOff>
      <xdr:row>13</xdr:row>
      <xdr:rowOff>142875</xdr:rowOff>
    </xdr:to>
    <xdr:pic>
      <xdr:nvPicPr>
        <xdr:cNvPr id="789" name="ID_C8052B1EB70046998C41FBC3762274AD"/>
        <xdr:cNvPicPr>
          <a:picLocks noChangeAspect="1"/>
        </xdr:cNvPicPr>
      </xdr:nvPicPr>
      <xdr:blipFill>
        <a:blip r:embed="rId392"/>
        <a:stretch>
          <a:fillRect/>
        </a:stretch>
      </xdr:blipFill>
      <xdr:spPr>
        <a:xfrm>
          <a:off x="17868265" y="10172700"/>
          <a:ext cx="8267700" cy="2495550"/>
        </a:xfrm>
        <a:prstGeom prst="rect">
          <a:avLst/>
        </a:prstGeom>
        <a:noFill/>
        <a:ln w="9525">
          <a:noFill/>
        </a:ln>
      </xdr:spPr>
    </xdr:pic>
    <xdr:clientData/>
  </xdr:twoCellAnchor>
  <xdr:twoCellAnchor editAs="oneCell">
    <xdr:from>
      <xdr:col>0</xdr:col>
      <xdr:colOff>0</xdr:colOff>
      <xdr:row>0</xdr:row>
      <xdr:rowOff>0</xdr:rowOff>
    </xdr:from>
    <xdr:to>
      <xdr:col>11</xdr:col>
      <xdr:colOff>647700</xdr:colOff>
      <xdr:row>19</xdr:row>
      <xdr:rowOff>57150</xdr:rowOff>
    </xdr:to>
    <xdr:pic>
      <xdr:nvPicPr>
        <xdr:cNvPr id="790" name="ID_A14FB0EC3ABF431480DEC1295BBAC34F"/>
        <xdr:cNvPicPr>
          <a:picLocks noChangeAspect="1"/>
        </xdr:cNvPicPr>
      </xdr:nvPicPr>
      <xdr:blipFill>
        <a:blip r:embed="rId393"/>
        <a:stretch>
          <a:fillRect/>
        </a:stretch>
      </xdr:blipFill>
      <xdr:spPr>
        <a:xfrm>
          <a:off x="17868265" y="10591800"/>
          <a:ext cx="8191500" cy="3495675"/>
        </a:xfrm>
        <a:prstGeom prst="rect">
          <a:avLst/>
        </a:prstGeom>
        <a:noFill/>
        <a:ln w="9525">
          <a:noFill/>
        </a:ln>
      </xdr:spPr>
    </xdr:pic>
    <xdr:clientData/>
  </xdr:twoCellAnchor>
  <xdr:twoCellAnchor editAs="oneCell">
    <xdr:from>
      <xdr:col>0</xdr:col>
      <xdr:colOff>0</xdr:colOff>
      <xdr:row>0</xdr:row>
      <xdr:rowOff>0</xdr:rowOff>
    </xdr:from>
    <xdr:to>
      <xdr:col>12</xdr:col>
      <xdr:colOff>466725</xdr:colOff>
      <xdr:row>28</xdr:row>
      <xdr:rowOff>76200</xdr:rowOff>
    </xdr:to>
    <xdr:pic>
      <xdr:nvPicPr>
        <xdr:cNvPr id="791" name="ID_9BF66703E4524740AD45A1C52D71A235"/>
        <xdr:cNvPicPr>
          <a:picLocks noChangeAspect="1"/>
        </xdr:cNvPicPr>
      </xdr:nvPicPr>
      <xdr:blipFill>
        <a:blip r:embed="rId394"/>
        <a:stretch>
          <a:fillRect/>
        </a:stretch>
      </xdr:blipFill>
      <xdr:spPr>
        <a:xfrm>
          <a:off x="17868265" y="11430000"/>
          <a:ext cx="8696325" cy="5143500"/>
        </a:xfrm>
        <a:prstGeom prst="rect">
          <a:avLst/>
        </a:prstGeom>
        <a:noFill/>
        <a:ln w="9525">
          <a:noFill/>
        </a:ln>
      </xdr:spPr>
    </xdr:pic>
    <xdr:clientData/>
  </xdr:twoCellAnchor>
  <xdr:twoCellAnchor editAs="oneCell">
    <xdr:from>
      <xdr:col>0</xdr:col>
      <xdr:colOff>0</xdr:colOff>
      <xdr:row>0</xdr:row>
      <xdr:rowOff>0</xdr:rowOff>
    </xdr:from>
    <xdr:to>
      <xdr:col>12</xdr:col>
      <xdr:colOff>247650</xdr:colOff>
      <xdr:row>11</xdr:row>
      <xdr:rowOff>104775</xdr:rowOff>
    </xdr:to>
    <xdr:pic>
      <xdr:nvPicPr>
        <xdr:cNvPr id="792" name="ID_D457286FDB124609A98404EEA14538B0"/>
        <xdr:cNvPicPr>
          <a:picLocks noChangeAspect="1"/>
        </xdr:cNvPicPr>
      </xdr:nvPicPr>
      <xdr:blipFill>
        <a:blip r:embed="rId395"/>
        <a:stretch>
          <a:fillRect/>
        </a:stretch>
      </xdr:blipFill>
      <xdr:spPr>
        <a:xfrm>
          <a:off x="17868265" y="21697950"/>
          <a:ext cx="8477250" cy="2095500"/>
        </a:xfrm>
        <a:prstGeom prst="rect">
          <a:avLst/>
        </a:prstGeom>
        <a:noFill/>
        <a:ln w="9525">
          <a:noFill/>
        </a:ln>
      </xdr:spPr>
    </xdr:pic>
    <xdr:clientData/>
  </xdr:twoCellAnchor>
  <xdr:twoCellAnchor editAs="oneCell">
    <xdr:from>
      <xdr:col>0</xdr:col>
      <xdr:colOff>0</xdr:colOff>
      <xdr:row>0</xdr:row>
      <xdr:rowOff>0</xdr:rowOff>
    </xdr:from>
    <xdr:to>
      <xdr:col>12</xdr:col>
      <xdr:colOff>171450</xdr:colOff>
      <xdr:row>23</xdr:row>
      <xdr:rowOff>57150</xdr:rowOff>
    </xdr:to>
    <xdr:pic>
      <xdr:nvPicPr>
        <xdr:cNvPr id="793" name="ID_9CB0200072BE49ADB8F7062F965EAFA4"/>
        <xdr:cNvPicPr>
          <a:picLocks noChangeAspect="1"/>
        </xdr:cNvPicPr>
      </xdr:nvPicPr>
      <xdr:blipFill>
        <a:blip r:embed="rId396"/>
        <a:stretch>
          <a:fillRect/>
        </a:stretch>
      </xdr:blipFill>
      <xdr:spPr>
        <a:xfrm>
          <a:off x="17868265" y="11849100"/>
          <a:ext cx="8401050" cy="4219575"/>
        </a:xfrm>
        <a:prstGeom prst="rect">
          <a:avLst/>
        </a:prstGeom>
        <a:noFill/>
        <a:ln w="9525">
          <a:noFill/>
        </a:ln>
      </xdr:spPr>
    </xdr:pic>
    <xdr:clientData/>
  </xdr:twoCellAnchor>
  <xdr:twoCellAnchor editAs="oneCell">
    <xdr:from>
      <xdr:col>0</xdr:col>
      <xdr:colOff>0</xdr:colOff>
      <xdr:row>0</xdr:row>
      <xdr:rowOff>0</xdr:rowOff>
    </xdr:from>
    <xdr:to>
      <xdr:col>6</xdr:col>
      <xdr:colOff>9525</xdr:colOff>
      <xdr:row>5</xdr:row>
      <xdr:rowOff>142875</xdr:rowOff>
    </xdr:to>
    <xdr:pic>
      <xdr:nvPicPr>
        <xdr:cNvPr id="794" name="ID_D30D41AA65EB488FAFD89E1831B0EE2B"/>
        <xdr:cNvPicPr>
          <a:picLocks noChangeAspect="1"/>
        </xdr:cNvPicPr>
      </xdr:nvPicPr>
      <xdr:blipFill>
        <a:blip r:embed="rId397"/>
        <a:stretch>
          <a:fillRect/>
        </a:stretch>
      </xdr:blipFill>
      <xdr:spPr>
        <a:xfrm>
          <a:off x="17868265" y="12268200"/>
          <a:ext cx="4124325" cy="1047750"/>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9</xdr:row>
      <xdr:rowOff>0</xdr:rowOff>
    </xdr:to>
    <xdr:pic>
      <xdr:nvPicPr>
        <xdr:cNvPr id="795" name="ID_2F94BBD59D0A4231974EDE6F59F43FA5"/>
        <xdr:cNvPicPr>
          <a:picLocks noChangeAspect="1"/>
        </xdr:cNvPicPr>
      </xdr:nvPicPr>
      <xdr:blipFill>
        <a:blip r:embed="rId398"/>
        <a:stretch>
          <a:fillRect/>
        </a:stretch>
      </xdr:blipFill>
      <xdr:spPr>
        <a:xfrm>
          <a:off x="17868265" y="13106400"/>
          <a:ext cx="7019925" cy="1628775"/>
        </a:xfrm>
        <a:prstGeom prst="rect">
          <a:avLst/>
        </a:prstGeom>
        <a:noFill/>
        <a:ln w="9525">
          <a:noFill/>
        </a:ln>
      </xdr:spPr>
    </xdr:pic>
    <xdr:clientData/>
  </xdr:twoCellAnchor>
  <xdr:twoCellAnchor editAs="oneCell">
    <xdr:from>
      <xdr:col>0</xdr:col>
      <xdr:colOff>0</xdr:colOff>
      <xdr:row>0</xdr:row>
      <xdr:rowOff>0</xdr:rowOff>
    </xdr:from>
    <xdr:to>
      <xdr:col>9</xdr:col>
      <xdr:colOff>409575</xdr:colOff>
      <xdr:row>6</xdr:row>
      <xdr:rowOff>161925</xdr:rowOff>
    </xdr:to>
    <xdr:pic>
      <xdr:nvPicPr>
        <xdr:cNvPr id="796" name="ID_2AA4460C3934492E82A33149114F5637"/>
        <xdr:cNvPicPr>
          <a:picLocks noChangeAspect="1"/>
        </xdr:cNvPicPr>
      </xdr:nvPicPr>
      <xdr:blipFill>
        <a:blip r:embed="rId399"/>
        <a:stretch>
          <a:fillRect/>
        </a:stretch>
      </xdr:blipFill>
      <xdr:spPr>
        <a:xfrm>
          <a:off x="17868265" y="13944600"/>
          <a:ext cx="6581775" cy="1247775"/>
        </a:xfrm>
        <a:prstGeom prst="rect">
          <a:avLst/>
        </a:prstGeom>
        <a:noFill/>
        <a:ln w="9525">
          <a:noFill/>
        </a:ln>
      </xdr:spPr>
    </xdr:pic>
    <xdr:clientData/>
  </xdr:twoCellAnchor>
  <xdr:twoCellAnchor editAs="oneCell">
    <xdr:from>
      <xdr:col>0</xdr:col>
      <xdr:colOff>0</xdr:colOff>
      <xdr:row>0</xdr:row>
      <xdr:rowOff>0</xdr:rowOff>
    </xdr:from>
    <xdr:to>
      <xdr:col>12</xdr:col>
      <xdr:colOff>352425</xdr:colOff>
      <xdr:row>12</xdr:row>
      <xdr:rowOff>123825</xdr:rowOff>
    </xdr:to>
    <xdr:pic>
      <xdr:nvPicPr>
        <xdr:cNvPr id="797" name="ID_1D3440EA02D04258A6E1AE733612E4D3"/>
        <xdr:cNvPicPr>
          <a:picLocks noChangeAspect="1"/>
        </xdr:cNvPicPr>
      </xdr:nvPicPr>
      <xdr:blipFill>
        <a:blip r:embed="rId400"/>
        <a:stretch>
          <a:fillRect/>
        </a:stretch>
      </xdr:blipFill>
      <xdr:spPr>
        <a:xfrm>
          <a:off x="17868265" y="14782800"/>
          <a:ext cx="8582025" cy="2295525"/>
        </a:xfrm>
        <a:prstGeom prst="rect">
          <a:avLst/>
        </a:prstGeom>
        <a:noFill/>
        <a:ln w="9525">
          <a:noFill/>
        </a:ln>
      </xdr:spPr>
    </xdr:pic>
    <xdr:clientData/>
  </xdr:twoCellAnchor>
  <xdr:twoCellAnchor editAs="oneCell">
    <xdr:from>
      <xdr:col>0</xdr:col>
      <xdr:colOff>0</xdr:colOff>
      <xdr:row>0</xdr:row>
      <xdr:rowOff>0</xdr:rowOff>
    </xdr:from>
    <xdr:to>
      <xdr:col>12</xdr:col>
      <xdr:colOff>276225</xdr:colOff>
      <xdr:row>14</xdr:row>
      <xdr:rowOff>161925</xdr:rowOff>
    </xdr:to>
    <xdr:pic>
      <xdr:nvPicPr>
        <xdr:cNvPr id="798" name="ID_27DACF5500AD45A6B4AADE954D4B7CF6"/>
        <xdr:cNvPicPr>
          <a:picLocks noChangeAspect="1"/>
        </xdr:cNvPicPr>
      </xdr:nvPicPr>
      <xdr:blipFill>
        <a:blip r:embed="rId401"/>
        <a:stretch>
          <a:fillRect/>
        </a:stretch>
      </xdr:blipFill>
      <xdr:spPr>
        <a:xfrm>
          <a:off x="17868265" y="15621000"/>
          <a:ext cx="8505825" cy="2695575"/>
        </a:xfrm>
        <a:prstGeom prst="rect">
          <a:avLst/>
        </a:prstGeom>
        <a:noFill/>
        <a:ln w="9525">
          <a:noFill/>
        </a:ln>
      </xdr:spPr>
    </xdr:pic>
    <xdr:clientData/>
  </xdr:twoCellAnchor>
  <xdr:twoCellAnchor editAs="oneCell">
    <xdr:from>
      <xdr:col>0</xdr:col>
      <xdr:colOff>0</xdr:colOff>
      <xdr:row>0</xdr:row>
      <xdr:rowOff>0</xdr:rowOff>
    </xdr:from>
    <xdr:to>
      <xdr:col>4</xdr:col>
      <xdr:colOff>400050</xdr:colOff>
      <xdr:row>6</xdr:row>
      <xdr:rowOff>0</xdr:rowOff>
    </xdr:to>
    <xdr:pic>
      <xdr:nvPicPr>
        <xdr:cNvPr id="799" name="ID_53A13C0B05734625B42D677A3A85516E"/>
        <xdr:cNvPicPr>
          <a:picLocks noChangeAspect="1"/>
        </xdr:cNvPicPr>
      </xdr:nvPicPr>
      <xdr:blipFill>
        <a:blip r:embed="rId402"/>
        <a:stretch>
          <a:fillRect/>
        </a:stretch>
      </xdr:blipFill>
      <xdr:spPr>
        <a:xfrm>
          <a:off x="17868265" y="16040100"/>
          <a:ext cx="3143250" cy="1085850"/>
        </a:xfrm>
        <a:prstGeom prst="rect">
          <a:avLst/>
        </a:prstGeom>
        <a:noFill/>
        <a:ln w="9525">
          <a:noFill/>
        </a:ln>
      </xdr:spPr>
    </xdr:pic>
    <xdr:clientData/>
  </xdr:twoCellAnchor>
  <xdr:twoCellAnchor editAs="oneCell">
    <xdr:from>
      <xdr:col>0</xdr:col>
      <xdr:colOff>0</xdr:colOff>
      <xdr:row>0</xdr:row>
      <xdr:rowOff>0</xdr:rowOff>
    </xdr:from>
    <xdr:to>
      <xdr:col>13</xdr:col>
      <xdr:colOff>219075</xdr:colOff>
      <xdr:row>25</xdr:row>
      <xdr:rowOff>142875</xdr:rowOff>
    </xdr:to>
    <xdr:pic>
      <xdr:nvPicPr>
        <xdr:cNvPr id="800" name="ID_7C5A187B70094BB8B62553B488FEBE35"/>
        <xdr:cNvPicPr>
          <a:picLocks noChangeAspect="1"/>
        </xdr:cNvPicPr>
      </xdr:nvPicPr>
      <xdr:blipFill>
        <a:blip r:embed="rId403"/>
        <a:stretch>
          <a:fillRect/>
        </a:stretch>
      </xdr:blipFill>
      <xdr:spPr>
        <a:xfrm>
          <a:off x="17868265" y="26517600"/>
          <a:ext cx="9134475" cy="4667250"/>
        </a:xfrm>
        <a:prstGeom prst="rect">
          <a:avLst/>
        </a:prstGeom>
        <a:noFill/>
        <a:ln w="9525">
          <a:noFill/>
        </a:ln>
      </xdr:spPr>
    </xdr:pic>
    <xdr:clientData/>
  </xdr:twoCellAnchor>
  <xdr:twoCellAnchor editAs="oneCell">
    <xdr:from>
      <xdr:col>0</xdr:col>
      <xdr:colOff>0</xdr:colOff>
      <xdr:row>0</xdr:row>
      <xdr:rowOff>0</xdr:rowOff>
    </xdr:from>
    <xdr:to>
      <xdr:col>12</xdr:col>
      <xdr:colOff>180975</xdr:colOff>
      <xdr:row>15</xdr:row>
      <xdr:rowOff>142875</xdr:rowOff>
    </xdr:to>
    <xdr:pic>
      <xdr:nvPicPr>
        <xdr:cNvPr id="801" name="ID_D1FB6B37C1E7408FA2840BF6C1ED142C"/>
        <xdr:cNvPicPr>
          <a:picLocks noChangeAspect="1"/>
        </xdr:cNvPicPr>
      </xdr:nvPicPr>
      <xdr:blipFill>
        <a:blip r:embed="rId404"/>
        <a:stretch>
          <a:fillRect/>
        </a:stretch>
      </xdr:blipFill>
      <xdr:spPr>
        <a:xfrm>
          <a:off x="17868265" y="16459200"/>
          <a:ext cx="8410575" cy="2857500"/>
        </a:xfrm>
        <a:prstGeom prst="rect">
          <a:avLst/>
        </a:prstGeom>
        <a:noFill/>
        <a:ln w="9525">
          <a:noFill/>
        </a:ln>
      </xdr:spPr>
    </xdr:pic>
    <xdr:clientData/>
  </xdr:twoCellAnchor>
  <xdr:twoCellAnchor editAs="oneCell">
    <xdr:from>
      <xdr:col>0</xdr:col>
      <xdr:colOff>0</xdr:colOff>
      <xdr:row>0</xdr:row>
      <xdr:rowOff>0</xdr:rowOff>
    </xdr:from>
    <xdr:to>
      <xdr:col>11</xdr:col>
      <xdr:colOff>638175</xdr:colOff>
      <xdr:row>15</xdr:row>
      <xdr:rowOff>38100</xdr:rowOff>
    </xdr:to>
    <xdr:pic>
      <xdr:nvPicPr>
        <xdr:cNvPr id="802" name="ID_70152921C6D04D27993FA13728927297"/>
        <xdr:cNvPicPr>
          <a:picLocks noChangeAspect="1"/>
        </xdr:cNvPicPr>
      </xdr:nvPicPr>
      <xdr:blipFill>
        <a:blip r:embed="rId405"/>
        <a:stretch>
          <a:fillRect/>
        </a:stretch>
      </xdr:blipFill>
      <xdr:spPr>
        <a:xfrm>
          <a:off x="17868265" y="17297400"/>
          <a:ext cx="8181975" cy="2752725"/>
        </a:xfrm>
        <a:prstGeom prst="rect">
          <a:avLst/>
        </a:prstGeom>
        <a:noFill/>
        <a:ln w="9525">
          <a:noFill/>
        </a:ln>
      </xdr:spPr>
    </xdr:pic>
    <xdr:clientData/>
  </xdr:twoCellAnchor>
  <xdr:twoCellAnchor editAs="oneCell">
    <xdr:from>
      <xdr:col>0</xdr:col>
      <xdr:colOff>0</xdr:colOff>
      <xdr:row>0</xdr:row>
      <xdr:rowOff>0</xdr:rowOff>
    </xdr:from>
    <xdr:to>
      <xdr:col>12</xdr:col>
      <xdr:colOff>152400</xdr:colOff>
      <xdr:row>7</xdr:row>
      <xdr:rowOff>19050</xdr:rowOff>
    </xdr:to>
    <xdr:pic>
      <xdr:nvPicPr>
        <xdr:cNvPr id="803" name="ID_77F7912CBF404ABBBF8DB17145675F8F"/>
        <xdr:cNvPicPr>
          <a:picLocks noChangeAspect="1"/>
        </xdr:cNvPicPr>
      </xdr:nvPicPr>
      <xdr:blipFill>
        <a:blip r:embed="rId406"/>
        <a:stretch>
          <a:fillRect/>
        </a:stretch>
      </xdr:blipFill>
      <xdr:spPr>
        <a:xfrm>
          <a:off x="17868265" y="18135600"/>
          <a:ext cx="8382000" cy="1285875"/>
        </a:xfrm>
        <a:prstGeom prst="rect">
          <a:avLst/>
        </a:prstGeom>
        <a:noFill/>
        <a:ln w="9525">
          <a:noFill/>
        </a:ln>
      </xdr:spPr>
    </xdr:pic>
    <xdr:clientData/>
  </xdr:twoCellAnchor>
  <xdr:twoCellAnchor editAs="oneCell">
    <xdr:from>
      <xdr:col>0</xdr:col>
      <xdr:colOff>0</xdr:colOff>
      <xdr:row>0</xdr:row>
      <xdr:rowOff>0</xdr:rowOff>
    </xdr:from>
    <xdr:to>
      <xdr:col>12</xdr:col>
      <xdr:colOff>219075</xdr:colOff>
      <xdr:row>7</xdr:row>
      <xdr:rowOff>142875</xdr:rowOff>
    </xdr:to>
    <xdr:pic>
      <xdr:nvPicPr>
        <xdr:cNvPr id="804" name="ID_4B63EB874442448598599EBDC00DD398"/>
        <xdr:cNvPicPr>
          <a:picLocks noChangeAspect="1"/>
        </xdr:cNvPicPr>
      </xdr:nvPicPr>
      <xdr:blipFill>
        <a:blip r:embed="rId407"/>
        <a:stretch>
          <a:fillRect/>
        </a:stretch>
      </xdr:blipFill>
      <xdr:spPr>
        <a:xfrm>
          <a:off x="17868265" y="18554700"/>
          <a:ext cx="8448675" cy="1409700"/>
        </a:xfrm>
        <a:prstGeom prst="rect">
          <a:avLst/>
        </a:prstGeom>
        <a:noFill/>
        <a:ln w="9525">
          <a:noFill/>
        </a:ln>
      </xdr:spPr>
    </xdr:pic>
    <xdr:clientData/>
  </xdr:twoCellAnchor>
  <xdr:twoCellAnchor editAs="oneCell">
    <xdr:from>
      <xdr:col>0</xdr:col>
      <xdr:colOff>0</xdr:colOff>
      <xdr:row>0</xdr:row>
      <xdr:rowOff>0</xdr:rowOff>
    </xdr:from>
    <xdr:to>
      <xdr:col>12</xdr:col>
      <xdr:colOff>228600</xdr:colOff>
      <xdr:row>7</xdr:row>
      <xdr:rowOff>28575</xdr:rowOff>
    </xdr:to>
    <xdr:pic>
      <xdr:nvPicPr>
        <xdr:cNvPr id="805" name="ID_9D8B2437E11D40BB96F61BB32B6005EF"/>
        <xdr:cNvPicPr>
          <a:picLocks noChangeAspect="1"/>
        </xdr:cNvPicPr>
      </xdr:nvPicPr>
      <xdr:blipFill>
        <a:blip r:embed="rId408"/>
        <a:stretch>
          <a:fillRect/>
        </a:stretch>
      </xdr:blipFill>
      <xdr:spPr>
        <a:xfrm>
          <a:off x="17868265" y="18973800"/>
          <a:ext cx="8458200" cy="1295400"/>
        </a:xfrm>
        <a:prstGeom prst="rect">
          <a:avLst/>
        </a:prstGeom>
        <a:noFill/>
        <a:ln w="9525">
          <a:noFill/>
        </a:ln>
      </xdr:spPr>
    </xdr:pic>
    <xdr:clientData/>
  </xdr:twoCellAnchor>
  <xdr:twoCellAnchor editAs="oneCell">
    <xdr:from>
      <xdr:col>0</xdr:col>
      <xdr:colOff>0</xdr:colOff>
      <xdr:row>0</xdr:row>
      <xdr:rowOff>0</xdr:rowOff>
    </xdr:from>
    <xdr:to>
      <xdr:col>12</xdr:col>
      <xdr:colOff>95250</xdr:colOff>
      <xdr:row>7</xdr:row>
      <xdr:rowOff>47625</xdr:rowOff>
    </xdr:to>
    <xdr:pic>
      <xdr:nvPicPr>
        <xdr:cNvPr id="806" name="ID_7BA6F6EEC45742C38E591C014FFDF5DE"/>
        <xdr:cNvPicPr>
          <a:picLocks noChangeAspect="1"/>
        </xdr:cNvPicPr>
      </xdr:nvPicPr>
      <xdr:blipFill>
        <a:blip r:embed="rId409"/>
        <a:stretch>
          <a:fillRect/>
        </a:stretch>
      </xdr:blipFill>
      <xdr:spPr>
        <a:xfrm>
          <a:off x="17868265" y="19392900"/>
          <a:ext cx="8324850" cy="1314450"/>
        </a:xfrm>
        <a:prstGeom prst="rect">
          <a:avLst/>
        </a:prstGeom>
        <a:noFill/>
        <a:ln w="9525">
          <a:noFill/>
        </a:ln>
      </xdr:spPr>
    </xdr:pic>
    <xdr:clientData/>
  </xdr:twoCellAnchor>
  <xdr:twoCellAnchor editAs="oneCell">
    <xdr:from>
      <xdr:col>0</xdr:col>
      <xdr:colOff>0</xdr:colOff>
      <xdr:row>0</xdr:row>
      <xdr:rowOff>0</xdr:rowOff>
    </xdr:from>
    <xdr:to>
      <xdr:col>12</xdr:col>
      <xdr:colOff>514350</xdr:colOff>
      <xdr:row>11</xdr:row>
      <xdr:rowOff>142875</xdr:rowOff>
    </xdr:to>
    <xdr:pic>
      <xdr:nvPicPr>
        <xdr:cNvPr id="807" name="ID_AC18AD4C3A4343CFB158B8F5FA16F6E5"/>
        <xdr:cNvPicPr>
          <a:picLocks noChangeAspect="1"/>
        </xdr:cNvPicPr>
      </xdr:nvPicPr>
      <xdr:blipFill>
        <a:blip r:embed="rId410"/>
        <a:stretch>
          <a:fillRect/>
        </a:stretch>
      </xdr:blipFill>
      <xdr:spPr>
        <a:xfrm>
          <a:off x="17868265" y="20440650"/>
          <a:ext cx="8743950" cy="2133600"/>
        </a:xfrm>
        <a:prstGeom prst="rect">
          <a:avLst/>
        </a:prstGeom>
        <a:noFill/>
        <a:ln w="9525">
          <a:noFill/>
        </a:ln>
      </xdr:spPr>
    </xdr:pic>
    <xdr:clientData/>
  </xdr:twoCellAnchor>
  <xdr:twoCellAnchor editAs="oneCell">
    <xdr:from>
      <xdr:col>0</xdr:col>
      <xdr:colOff>0</xdr:colOff>
      <xdr:row>0</xdr:row>
      <xdr:rowOff>0</xdr:rowOff>
    </xdr:from>
    <xdr:to>
      <xdr:col>11</xdr:col>
      <xdr:colOff>457200</xdr:colOff>
      <xdr:row>17</xdr:row>
      <xdr:rowOff>85725</xdr:rowOff>
    </xdr:to>
    <xdr:pic>
      <xdr:nvPicPr>
        <xdr:cNvPr id="808" name="ID_4AF19A16F290418283AAD081E5D7E795"/>
        <xdr:cNvPicPr>
          <a:picLocks noChangeAspect="1"/>
        </xdr:cNvPicPr>
      </xdr:nvPicPr>
      <xdr:blipFill>
        <a:blip r:embed="rId411"/>
        <a:stretch>
          <a:fillRect/>
        </a:stretch>
      </xdr:blipFill>
      <xdr:spPr>
        <a:xfrm>
          <a:off x="17868265" y="23164800"/>
          <a:ext cx="8001000" cy="3162300"/>
        </a:xfrm>
        <a:prstGeom prst="rect">
          <a:avLst/>
        </a:prstGeom>
        <a:noFill/>
        <a:ln w="9525">
          <a:noFill/>
        </a:ln>
      </xdr:spPr>
    </xdr:pic>
    <xdr:clientData/>
  </xdr:twoCellAnchor>
  <xdr:twoCellAnchor editAs="oneCell">
    <xdr:from>
      <xdr:col>0</xdr:col>
      <xdr:colOff>0</xdr:colOff>
      <xdr:row>0</xdr:row>
      <xdr:rowOff>0</xdr:rowOff>
    </xdr:from>
    <xdr:to>
      <xdr:col>12</xdr:col>
      <xdr:colOff>285750</xdr:colOff>
      <xdr:row>16</xdr:row>
      <xdr:rowOff>152400</xdr:rowOff>
    </xdr:to>
    <xdr:pic>
      <xdr:nvPicPr>
        <xdr:cNvPr id="809" name="ID_EBE4BB20F108413DB0AB44C6EAC9CFBA"/>
        <xdr:cNvPicPr>
          <a:picLocks noChangeAspect="1"/>
        </xdr:cNvPicPr>
      </xdr:nvPicPr>
      <xdr:blipFill>
        <a:blip r:embed="rId412"/>
        <a:stretch>
          <a:fillRect/>
        </a:stretch>
      </xdr:blipFill>
      <xdr:spPr>
        <a:xfrm>
          <a:off x="17868265" y="24631650"/>
          <a:ext cx="8515350" cy="3048000"/>
        </a:xfrm>
        <a:prstGeom prst="rect">
          <a:avLst/>
        </a:prstGeom>
        <a:noFill/>
        <a:ln w="9525">
          <a:noFill/>
        </a:ln>
      </xdr:spPr>
    </xdr:pic>
    <xdr:clientData/>
  </xdr:twoCellAnchor>
  <xdr:twoCellAnchor editAs="oneCell">
    <xdr:from>
      <xdr:col>0</xdr:col>
      <xdr:colOff>0</xdr:colOff>
      <xdr:row>0</xdr:row>
      <xdr:rowOff>0</xdr:rowOff>
    </xdr:from>
    <xdr:to>
      <xdr:col>12</xdr:col>
      <xdr:colOff>161925</xdr:colOff>
      <xdr:row>9</xdr:row>
      <xdr:rowOff>152400</xdr:rowOff>
    </xdr:to>
    <xdr:pic>
      <xdr:nvPicPr>
        <xdr:cNvPr id="810" name="ID_318EBD5FC47C4A238EE609C80341D9AD"/>
        <xdr:cNvPicPr>
          <a:picLocks noChangeAspect="1"/>
        </xdr:cNvPicPr>
      </xdr:nvPicPr>
      <xdr:blipFill>
        <a:blip r:embed="rId413"/>
        <a:stretch>
          <a:fillRect/>
        </a:stretch>
      </xdr:blipFill>
      <xdr:spPr>
        <a:xfrm>
          <a:off x="17868265" y="25888950"/>
          <a:ext cx="8391525" cy="1781175"/>
        </a:xfrm>
        <a:prstGeom prst="rect">
          <a:avLst/>
        </a:prstGeom>
        <a:noFill/>
        <a:ln w="9525">
          <a:noFill/>
        </a:ln>
      </xdr:spPr>
    </xdr:pic>
    <xdr:clientData/>
  </xdr:twoCellAnchor>
  <xdr:twoCellAnchor editAs="oneCell">
    <xdr:from>
      <xdr:col>0</xdr:col>
      <xdr:colOff>0</xdr:colOff>
      <xdr:row>0</xdr:row>
      <xdr:rowOff>0</xdr:rowOff>
    </xdr:from>
    <xdr:to>
      <xdr:col>12</xdr:col>
      <xdr:colOff>523875</xdr:colOff>
      <xdr:row>13</xdr:row>
      <xdr:rowOff>38100</xdr:rowOff>
    </xdr:to>
    <xdr:pic>
      <xdr:nvPicPr>
        <xdr:cNvPr id="811" name="ID_9035E38C43FD4D5798BF0C536F86621C"/>
        <xdr:cNvPicPr>
          <a:picLocks noChangeAspect="1"/>
        </xdr:cNvPicPr>
      </xdr:nvPicPr>
      <xdr:blipFill>
        <a:blip r:embed="rId414"/>
        <a:stretch>
          <a:fillRect/>
        </a:stretch>
      </xdr:blipFill>
      <xdr:spPr>
        <a:xfrm>
          <a:off x="17868265" y="29032200"/>
          <a:ext cx="8753475" cy="2390775"/>
        </a:xfrm>
        <a:prstGeom prst="rect">
          <a:avLst/>
        </a:prstGeom>
        <a:noFill/>
        <a:ln w="9525">
          <a:noFill/>
        </a:ln>
      </xdr:spPr>
    </xdr:pic>
    <xdr:clientData/>
  </xdr:twoCellAnchor>
  <xdr:twoCellAnchor editAs="oneCell">
    <xdr:from>
      <xdr:col>0</xdr:col>
      <xdr:colOff>0</xdr:colOff>
      <xdr:row>0</xdr:row>
      <xdr:rowOff>0</xdr:rowOff>
    </xdr:from>
    <xdr:to>
      <xdr:col>12</xdr:col>
      <xdr:colOff>590550</xdr:colOff>
      <xdr:row>19</xdr:row>
      <xdr:rowOff>171450</xdr:rowOff>
    </xdr:to>
    <xdr:pic>
      <xdr:nvPicPr>
        <xdr:cNvPr id="812" name="ID_3547C8D18B34496FAE1FCFD09A3F8649"/>
        <xdr:cNvPicPr>
          <a:picLocks noChangeAspect="1"/>
        </xdr:cNvPicPr>
      </xdr:nvPicPr>
      <xdr:blipFill>
        <a:blip r:embed="rId415"/>
        <a:stretch>
          <a:fillRect/>
        </a:stretch>
      </xdr:blipFill>
      <xdr:spPr>
        <a:xfrm>
          <a:off x="17868265" y="29451300"/>
          <a:ext cx="8820150" cy="3609975"/>
        </a:xfrm>
        <a:prstGeom prst="rect">
          <a:avLst/>
        </a:prstGeom>
        <a:noFill/>
        <a:ln w="9525">
          <a:noFill/>
        </a:ln>
      </xdr:spPr>
    </xdr:pic>
    <xdr:clientData/>
  </xdr:twoCellAnchor>
  <xdr:twoCellAnchor editAs="oneCell">
    <xdr:from>
      <xdr:col>0</xdr:col>
      <xdr:colOff>0</xdr:colOff>
      <xdr:row>0</xdr:row>
      <xdr:rowOff>0</xdr:rowOff>
    </xdr:from>
    <xdr:to>
      <xdr:col>12</xdr:col>
      <xdr:colOff>276225</xdr:colOff>
      <xdr:row>17</xdr:row>
      <xdr:rowOff>0</xdr:rowOff>
    </xdr:to>
    <xdr:pic>
      <xdr:nvPicPr>
        <xdr:cNvPr id="813" name="ID_C0FB8E5FFB374391A2FA05395954A40E"/>
        <xdr:cNvPicPr>
          <a:picLocks noChangeAspect="1"/>
        </xdr:cNvPicPr>
      </xdr:nvPicPr>
      <xdr:blipFill>
        <a:blip r:embed="rId416"/>
        <a:stretch>
          <a:fillRect/>
        </a:stretch>
      </xdr:blipFill>
      <xdr:spPr>
        <a:xfrm>
          <a:off x="18483580" y="1371600"/>
          <a:ext cx="8505825" cy="3076575"/>
        </a:xfrm>
        <a:prstGeom prst="rect">
          <a:avLst/>
        </a:prstGeom>
        <a:noFill/>
        <a:ln w="9525">
          <a:noFill/>
        </a:ln>
      </xdr:spPr>
    </xdr:pic>
    <xdr:clientData/>
  </xdr:twoCellAnchor>
  <xdr:twoCellAnchor editAs="oneCell">
    <xdr:from>
      <xdr:col>0</xdr:col>
      <xdr:colOff>0</xdr:colOff>
      <xdr:row>0</xdr:row>
      <xdr:rowOff>0</xdr:rowOff>
    </xdr:from>
    <xdr:to>
      <xdr:col>11</xdr:col>
      <xdr:colOff>457200</xdr:colOff>
      <xdr:row>17</xdr:row>
      <xdr:rowOff>66675</xdr:rowOff>
    </xdr:to>
    <xdr:pic>
      <xdr:nvPicPr>
        <xdr:cNvPr id="814" name="ID_A28358FD34EF49B5AC8F553FD9F86206"/>
        <xdr:cNvPicPr>
          <a:picLocks noChangeAspect="1"/>
        </xdr:cNvPicPr>
      </xdr:nvPicPr>
      <xdr:blipFill>
        <a:blip r:embed="rId417"/>
        <a:stretch>
          <a:fillRect/>
        </a:stretch>
      </xdr:blipFill>
      <xdr:spPr>
        <a:xfrm>
          <a:off x="18483580" y="21399500"/>
          <a:ext cx="8001000" cy="3143250"/>
        </a:xfrm>
        <a:prstGeom prst="rect">
          <a:avLst/>
        </a:prstGeom>
        <a:noFill/>
        <a:ln w="9525">
          <a:noFill/>
        </a:ln>
      </xdr:spPr>
    </xdr:pic>
    <xdr:clientData/>
  </xdr:twoCellAnchor>
  <xdr:twoCellAnchor editAs="oneCell">
    <xdr:from>
      <xdr:col>0</xdr:col>
      <xdr:colOff>0</xdr:colOff>
      <xdr:row>0</xdr:row>
      <xdr:rowOff>0</xdr:rowOff>
    </xdr:from>
    <xdr:to>
      <xdr:col>12</xdr:col>
      <xdr:colOff>285750</xdr:colOff>
      <xdr:row>16</xdr:row>
      <xdr:rowOff>152400</xdr:rowOff>
    </xdr:to>
    <xdr:pic>
      <xdr:nvPicPr>
        <xdr:cNvPr id="815" name="ID_06FF80DB229D4232A5B3991113B3A8E3"/>
        <xdr:cNvPicPr>
          <a:picLocks noChangeAspect="1"/>
        </xdr:cNvPicPr>
      </xdr:nvPicPr>
      <xdr:blipFill>
        <a:blip r:embed="rId418"/>
        <a:stretch>
          <a:fillRect/>
        </a:stretch>
      </xdr:blipFill>
      <xdr:spPr>
        <a:xfrm>
          <a:off x="18483580" y="952500"/>
          <a:ext cx="8515350" cy="3048000"/>
        </a:xfrm>
        <a:prstGeom prst="rect">
          <a:avLst/>
        </a:prstGeom>
        <a:noFill/>
        <a:ln w="9525">
          <a:noFill/>
        </a:ln>
      </xdr:spPr>
    </xdr:pic>
    <xdr:clientData/>
  </xdr:twoCellAnchor>
  <xdr:twoCellAnchor editAs="oneCell">
    <xdr:from>
      <xdr:col>0</xdr:col>
      <xdr:colOff>0</xdr:colOff>
      <xdr:row>0</xdr:row>
      <xdr:rowOff>0</xdr:rowOff>
    </xdr:from>
    <xdr:to>
      <xdr:col>12</xdr:col>
      <xdr:colOff>257175</xdr:colOff>
      <xdr:row>17</xdr:row>
      <xdr:rowOff>28575</xdr:rowOff>
    </xdr:to>
    <xdr:pic>
      <xdr:nvPicPr>
        <xdr:cNvPr id="816" name="ID_616510B04EF74855BF9ABB3FA205E23A"/>
        <xdr:cNvPicPr>
          <a:picLocks noChangeAspect="1"/>
        </xdr:cNvPicPr>
      </xdr:nvPicPr>
      <xdr:blipFill>
        <a:blip r:embed="rId419"/>
        <a:stretch>
          <a:fillRect/>
        </a:stretch>
      </xdr:blipFill>
      <xdr:spPr>
        <a:xfrm>
          <a:off x="18483580" y="1790700"/>
          <a:ext cx="8486775" cy="3105150"/>
        </a:xfrm>
        <a:prstGeom prst="rect">
          <a:avLst/>
        </a:prstGeom>
        <a:noFill/>
        <a:ln w="9525">
          <a:noFill/>
        </a:ln>
      </xdr:spPr>
    </xdr:pic>
    <xdr:clientData/>
  </xdr:twoCellAnchor>
  <xdr:twoCellAnchor editAs="oneCell">
    <xdr:from>
      <xdr:col>0</xdr:col>
      <xdr:colOff>0</xdr:colOff>
      <xdr:row>0</xdr:row>
      <xdr:rowOff>0</xdr:rowOff>
    </xdr:from>
    <xdr:to>
      <xdr:col>11</xdr:col>
      <xdr:colOff>371475</xdr:colOff>
      <xdr:row>16</xdr:row>
      <xdr:rowOff>161925</xdr:rowOff>
    </xdr:to>
    <xdr:pic>
      <xdr:nvPicPr>
        <xdr:cNvPr id="817" name="ID_B85BACCCA8CB4947A0C06C29B9E78ADF"/>
        <xdr:cNvPicPr>
          <a:picLocks noChangeAspect="1"/>
        </xdr:cNvPicPr>
      </xdr:nvPicPr>
      <xdr:blipFill>
        <a:blip r:embed="rId420"/>
        <a:stretch>
          <a:fillRect/>
        </a:stretch>
      </xdr:blipFill>
      <xdr:spPr>
        <a:xfrm>
          <a:off x="18483580" y="12179300"/>
          <a:ext cx="7915275" cy="3057525"/>
        </a:xfrm>
        <a:prstGeom prst="rect">
          <a:avLst/>
        </a:prstGeom>
        <a:noFill/>
        <a:ln w="9525">
          <a:noFill/>
        </a:ln>
      </xdr:spPr>
    </xdr:pic>
    <xdr:clientData/>
  </xdr:twoCellAnchor>
  <xdr:twoCellAnchor editAs="oneCell">
    <xdr:from>
      <xdr:col>0</xdr:col>
      <xdr:colOff>0</xdr:colOff>
      <xdr:row>0</xdr:row>
      <xdr:rowOff>0</xdr:rowOff>
    </xdr:from>
    <xdr:to>
      <xdr:col>11</xdr:col>
      <xdr:colOff>495300</xdr:colOff>
      <xdr:row>10</xdr:row>
      <xdr:rowOff>9525</xdr:rowOff>
    </xdr:to>
    <xdr:pic>
      <xdr:nvPicPr>
        <xdr:cNvPr id="818" name="ID_D97A8681A2264D84A98292A77E8CDE97"/>
        <xdr:cNvPicPr>
          <a:picLocks noChangeAspect="1"/>
        </xdr:cNvPicPr>
      </xdr:nvPicPr>
      <xdr:blipFill>
        <a:blip r:embed="rId421"/>
        <a:stretch>
          <a:fillRect/>
        </a:stretch>
      </xdr:blipFill>
      <xdr:spPr>
        <a:xfrm>
          <a:off x="18483580" y="21818600"/>
          <a:ext cx="8039100" cy="1819275"/>
        </a:xfrm>
        <a:prstGeom prst="rect">
          <a:avLst/>
        </a:prstGeom>
        <a:noFill/>
        <a:ln w="9525">
          <a:noFill/>
        </a:ln>
      </xdr:spPr>
    </xdr:pic>
    <xdr:clientData/>
  </xdr:twoCellAnchor>
  <xdr:twoCellAnchor editAs="oneCell">
    <xdr:from>
      <xdr:col>0</xdr:col>
      <xdr:colOff>0</xdr:colOff>
      <xdr:row>0</xdr:row>
      <xdr:rowOff>0</xdr:rowOff>
    </xdr:from>
    <xdr:to>
      <xdr:col>10</xdr:col>
      <xdr:colOff>676275</xdr:colOff>
      <xdr:row>8</xdr:row>
      <xdr:rowOff>123825</xdr:rowOff>
    </xdr:to>
    <xdr:pic>
      <xdr:nvPicPr>
        <xdr:cNvPr id="819" name="ID_536011F26E86458484F751CC7831BB47"/>
        <xdr:cNvPicPr>
          <a:picLocks noChangeAspect="1"/>
        </xdr:cNvPicPr>
      </xdr:nvPicPr>
      <xdr:blipFill>
        <a:blip r:embed="rId422"/>
        <a:stretch>
          <a:fillRect/>
        </a:stretch>
      </xdr:blipFill>
      <xdr:spPr>
        <a:xfrm>
          <a:off x="18483580" y="32505650"/>
          <a:ext cx="7534275" cy="1571625"/>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11</xdr:row>
      <xdr:rowOff>104775</xdr:rowOff>
    </xdr:to>
    <xdr:pic>
      <xdr:nvPicPr>
        <xdr:cNvPr id="820" name="ID_A3E406607B4747E9BE394F411334181D"/>
        <xdr:cNvPicPr>
          <a:picLocks noChangeAspect="1"/>
        </xdr:cNvPicPr>
      </xdr:nvPicPr>
      <xdr:blipFill>
        <a:blip r:embed="rId423"/>
        <a:stretch>
          <a:fillRect/>
        </a:stretch>
      </xdr:blipFill>
      <xdr:spPr>
        <a:xfrm>
          <a:off x="18483580" y="22656800"/>
          <a:ext cx="7486650" cy="2095500"/>
        </a:xfrm>
        <a:prstGeom prst="rect">
          <a:avLst/>
        </a:prstGeom>
        <a:noFill/>
        <a:ln w="9525">
          <a:noFill/>
        </a:ln>
      </xdr:spPr>
    </xdr:pic>
    <xdr:clientData/>
  </xdr:twoCellAnchor>
  <xdr:twoCellAnchor editAs="oneCell">
    <xdr:from>
      <xdr:col>0</xdr:col>
      <xdr:colOff>0</xdr:colOff>
      <xdr:row>0</xdr:row>
      <xdr:rowOff>0</xdr:rowOff>
    </xdr:from>
    <xdr:to>
      <xdr:col>11</xdr:col>
      <xdr:colOff>352425</xdr:colOff>
      <xdr:row>7</xdr:row>
      <xdr:rowOff>66675</xdr:rowOff>
    </xdr:to>
    <xdr:pic>
      <xdr:nvPicPr>
        <xdr:cNvPr id="821" name="ID_A04F827174284EA5B1EB746A6BB3A6C7"/>
        <xdr:cNvPicPr>
          <a:picLocks noChangeAspect="1"/>
        </xdr:cNvPicPr>
      </xdr:nvPicPr>
      <xdr:blipFill>
        <a:blip r:embed="rId424"/>
        <a:stretch>
          <a:fillRect/>
        </a:stretch>
      </xdr:blipFill>
      <xdr:spPr>
        <a:xfrm>
          <a:off x="18483580" y="2628900"/>
          <a:ext cx="7896225" cy="1333500"/>
        </a:xfrm>
        <a:prstGeom prst="rect">
          <a:avLst/>
        </a:prstGeom>
        <a:noFill/>
        <a:ln w="9525">
          <a:noFill/>
        </a:ln>
      </xdr:spPr>
    </xdr:pic>
    <xdr:clientData/>
  </xdr:twoCellAnchor>
  <xdr:twoCellAnchor editAs="oneCell">
    <xdr:from>
      <xdr:col>0</xdr:col>
      <xdr:colOff>0</xdr:colOff>
      <xdr:row>0</xdr:row>
      <xdr:rowOff>0</xdr:rowOff>
    </xdr:from>
    <xdr:to>
      <xdr:col>11</xdr:col>
      <xdr:colOff>666750</xdr:colOff>
      <xdr:row>10</xdr:row>
      <xdr:rowOff>19050</xdr:rowOff>
    </xdr:to>
    <xdr:pic>
      <xdr:nvPicPr>
        <xdr:cNvPr id="822" name="ID_8FDE9AA8BE6446E7835B800B0EFBD9A4"/>
        <xdr:cNvPicPr>
          <a:picLocks noChangeAspect="1"/>
        </xdr:cNvPicPr>
      </xdr:nvPicPr>
      <xdr:blipFill>
        <a:blip r:embed="rId425"/>
        <a:stretch>
          <a:fillRect/>
        </a:stretch>
      </xdr:blipFill>
      <xdr:spPr>
        <a:xfrm>
          <a:off x="18483580" y="13017500"/>
          <a:ext cx="8210550" cy="1828800"/>
        </a:xfrm>
        <a:prstGeom prst="rect">
          <a:avLst/>
        </a:prstGeom>
        <a:noFill/>
        <a:ln w="9525">
          <a:noFill/>
        </a:ln>
      </xdr:spPr>
    </xdr:pic>
    <xdr:clientData/>
  </xdr:twoCellAnchor>
  <xdr:twoCellAnchor editAs="oneCell">
    <xdr:from>
      <xdr:col>0</xdr:col>
      <xdr:colOff>0</xdr:colOff>
      <xdr:row>0</xdr:row>
      <xdr:rowOff>0</xdr:rowOff>
    </xdr:from>
    <xdr:to>
      <xdr:col>11</xdr:col>
      <xdr:colOff>409575</xdr:colOff>
      <xdr:row>10</xdr:row>
      <xdr:rowOff>95250</xdr:rowOff>
    </xdr:to>
    <xdr:pic>
      <xdr:nvPicPr>
        <xdr:cNvPr id="823" name="ID_5247CEAFCD064BE9AA90D4E31F977296"/>
        <xdr:cNvPicPr>
          <a:picLocks noChangeAspect="1"/>
        </xdr:cNvPicPr>
      </xdr:nvPicPr>
      <xdr:blipFill>
        <a:blip r:embed="rId426"/>
        <a:stretch>
          <a:fillRect/>
        </a:stretch>
      </xdr:blipFill>
      <xdr:spPr>
        <a:xfrm>
          <a:off x="18483580" y="2209800"/>
          <a:ext cx="7953375" cy="1905000"/>
        </a:xfrm>
        <a:prstGeom prst="rect">
          <a:avLst/>
        </a:prstGeom>
        <a:noFill/>
        <a:ln w="9525">
          <a:noFill/>
        </a:ln>
      </xdr:spPr>
    </xdr:pic>
    <xdr:clientData/>
  </xdr:twoCellAnchor>
  <xdr:twoCellAnchor editAs="oneCell">
    <xdr:from>
      <xdr:col>0</xdr:col>
      <xdr:colOff>0</xdr:colOff>
      <xdr:row>0</xdr:row>
      <xdr:rowOff>0</xdr:rowOff>
    </xdr:from>
    <xdr:to>
      <xdr:col>11</xdr:col>
      <xdr:colOff>419100</xdr:colOff>
      <xdr:row>6</xdr:row>
      <xdr:rowOff>171450</xdr:rowOff>
    </xdr:to>
    <xdr:pic>
      <xdr:nvPicPr>
        <xdr:cNvPr id="824" name="ID_B9AE555E27BC412799DC575B5A823440"/>
        <xdr:cNvPicPr>
          <a:picLocks noChangeAspect="1"/>
        </xdr:cNvPicPr>
      </xdr:nvPicPr>
      <xdr:blipFill>
        <a:blip r:embed="rId427"/>
        <a:stretch>
          <a:fillRect/>
        </a:stretch>
      </xdr:blipFill>
      <xdr:spPr>
        <a:xfrm>
          <a:off x="18483580" y="3048000"/>
          <a:ext cx="7962900" cy="1257300"/>
        </a:xfrm>
        <a:prstGeom prst="rect">
          <a:avLst/>
        </a:prstGeom>
        <a:noFill/>
        <a:ln w="9525">
          <a:noFill/>
        </a:ln>
      </xdr:spPr>
    </xdr:pic>
    <xdr:clientData/>
  </xdr:twoCellAnchor>
  <xdr:twoCellAnchor editAs="oneCell">
    <xdr:from>
      <xdr:col>0</xdr:col>
      <xdr:colOff>0</xdr:colOff>
      <xdr:row>0</xdr:row>
      <xdr:rowOff>0</xdr:rowOff>
    </xdr:from>
    <xdr:to>
      <xdr:col>11</xdr:col>
      <xdr:colOff>476250</xdr:colOff>
      <xdr:row>17</xdr:row>
      <xdr:rowOff>38100</xdr:rowOff>
    </xdr:to>
    <xdr:pic>
      <xdr:nvPicPr>
        <xdr:cNvPr id="825" name="ID_CB8FA96816BA42C49ADE4AFB73C79A9F"/>
        <xdr:cNvPicPr>
          <a:picLocks noChangeAspect="1"/>
        </xdr:cNvPicPr>
      </xdr:nvPicPr>
      <xdr:blipFill>
        <a:blip r:embed="rId428"/>
        <a:stretch>
          <a:fillRect/>
        </a:stretch>
      </xdr:blipFill>
      <xdr:spPr>
        <a:xfrm>
          <a:off x="18483580" y="23285450"/>
          <a:ext cx="8020050" cy="3114675"/>
        </a:xfrm>
        <a:prstGeom prst="rect">
          <a:avLst/>
        </a:prstGeom>
        <a:noFill/>
        <a:ln w="9525">
          <a:noFill/>
        </a:ln>
      </xdr:spPr>
    </xdr:pic>
    <xdr:clientData/>
  </xdr:twoCellAnchor>
  <xdr:twoCellAnchor editAs="oneCell">
    <xdr:from>
      <xdr:col>0</xdr:col>
      <xdr:colOff>0</xdr:colOff>
      <xdr:row>0</xdr:row>
      <xdr:rowOff>0</xdr:rowOff>
    </xdr:from>
    <xdr:to>
      <xdr:col>11</xdr:col>
      <xdr:colOff>342900</xdr:colOff>
      <xdr:row>11</xdr:row>
      <xdr:rowOff>57150</xdr:rowOff>
    </xdr:to>
    <xdr:pic>
      <xdr:nvPicPr>
        <xdr:cNvPr id="826" name="ID_F8B89237A7ED4A5097EA02E727AA7408"/>
        <xdr:cNvPicPr>
          <a:picLocks noChangeAspect="1"/>
        </xdr:cNvPicPr>
      </xdr:nvPicPr>
      <xdr:blipFill>
        <a:blip r:embed="rId429"/>
        <a:stretch>
          <a:fillRect/>
        </a:stretch>
      </xdr:blipFill>
      <xdr:spPr>
        <a:xfrm>
          <a:off x="18483580" y="3676650"/>
          <a:ext cx="7886700" cy="2047875"/>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17</xdr:row>
      <xdr:rowOff>19050</xdr:rowOff>
    </xdr:to>
    <xdr:pic>
      <xdr:nvPicPr>
        <xdr:cNvPr id="827" name="ID_1731817C96CA43A5B57444F494442E62"/>
        <xdr:cNvPicPr>
          <a:picLocks noChangeAspect="1"/>
        </xdr:cNvPicPr>
      </xdr:nvPicPr>
      <xdr:blipFill>
        <a:blip r:embed="rId430"/>
        <a:stretch>
          <a:fillRect/>
        </a:stretch>
      </xdr:blipFill>
      <xdr:spPr>
        <a:xfrm>
          <a:off x="18483580" y="13855700"/>
          <a:ext cx="7934325" cy="3095625"/>
        </a:xfrm>
        <a:prstGeom prst="rect">
          <a:avLst/>
        </a:prstGeom>
        <a:noFill/>
        <a:ln w="9525">
          <a:noFill/>
        </a:ln>
      </xdr:spPr>
    </xdr:pic>
    <xdr:clientData/>
  </xdr:twoCellAnchor>
  <xdr:twoCellAnchor editAs="oneCell">
    <xdr:from>
      <xdr:col>0</xdr:col>
      <xdr:colOff>0</xdr:colOff>
      <xdr:row>0</xdr:row>
      <xdr:rowOff>0</xdr:rowOff>
    </xdr:from>
    <xdr:to>
      <xdr:col>10</xdr:col>
      <xdr:colOff>657225</xdr:colOff>
      <xdr:row>17</xdr:row>
      <xdr:rowOff>0</xdr:rowOff>
    </xdr:to>
    <xdr:pic>
      <xdr:nvPicPr>
        <xdr:cNvPr id="828" name="ID_C30D9979BCDE414496570D2C1AD52B42"/>
        <xdr:cNvPicPr>
          <a:picLocks noChangeAspect="1"/>
        </xdr:cNvPicPr>
      </xdr:nvPicPr>
      <xdr:blipFill>
        <a:blip r:embed="rId431"/>
        <a:stretch>
          <a:fillRect/>
        </a:stretch>
      </xdr:blipFill>
      <xdr:spPr>
        <a:xfrm>
          <a:off x="18483580" y="24123650"/>
          <a:ext cx="7515225" cy="3076575"/>
        </a:xfrm>
        <a:prstGeom prst="rect">
          <a:avLst/>
        </a:prstGeom>
        <a:noFill/>
        <a:ln w="9525">
          <a:noFill/>
        </a:ln>
      </xdr:spPr>
    </xdr:pic>
    <xdr:clientData/>
  </xdr:twoCellAnchor>
  <xdr:twoCellAnchor editAs="oneCell">
    <xdr:from>
      <xdr:col>0</xdr:col>
      <xdr:colOff>0</xdr:colOff>
      <xdr:row>0</xdr:row>
      <xdr:rowOff>0</xdr:rowOff>
    </xdr:from>
    <xdr:to>
      <xdr:col>11</xdr:col>
      <xdr:colOff>457200</xdr:colOff>
      <xdr:row>8</xdr:row>
      <xdr:rowOff>0</xdr:rowOff>
    </xdr:to>
    <xdr:pic>
      <xdr:nvPicPr>
        <xdr:cNvPr id="829" name="ID_17247047AF4C4BCB806F8C4254F30527"/>
        <xdr:cNvPicPr>
          <a:picLocks noChangeAspect="1"/>
        </xdr:cNvPicPr>
      </xdr:nvPicPr>
      <xdr:blipFill>
        <a:blip r:embed="rId432"/>
        <a:stretch>
          <a:fillRect/>
        </a:stretch>
      </xdr:blipFill>
      <xdr:spPr>
        <a:xfrm>
          <a:off x="18483580" y="3467100"/>
          <a:ext cx="8001000" cy="1447800"/>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142875</xdr:rowOff>
    </xdr:to>
    <xdr:pic>
      <xdr:nvPicPr>
        <xdr:cNvPr id="830" name="ID_B90D4685E1E44F26AC563938122632C1"/>
        <xdr:cNvPicPr>
          <a:picLocks noChangeAspect="1"/>
        </xdr:cNvPicPr>
      </xdr:nvPicPr>
      <xdr:blipFill>
        <a:blip r:embed="rId433"/>
        <a:stretch>
          <a:fillRect/>
        </a:stretch>
      </xdr:blipFill>
      <xdr:spPr>
        <a:xfrm>
          <a:off x="18483580" y="34182050"/>
          <a:ext cx="7934325" cy="3038475"/>
        </a:xfrm>
        <a:prstGeom prst="rect">
          <a:avLst/>
        </a:prstGeom>
        <a:noFill/>
        <a:ln w="9525">
          <a:noFill/>
        </a:ln>
      </xdr:spPr>
    </xdr:pic>
    <xdr:clientData/>
  </xdr:twoCellAnchor>
  <xdr:twoCellAnchor editAs="oneCell">
    <xdr:from>
      <xdr:col>0</xdr:col>
      <xdr:colOff>0</xdr:colOff>
      <xdr:row>0</xdr:row>
      <xdr:rowOff>0</xdr:rowOff>
    </xdr:from>
    <xdr:to>
      <xdr:col>11</xdr:col>
      <xdr:colOff>85725</xdr:colOff>
      <xdr:row>11</xdr:row>
      <xdr:rowOff>95250</xdr:rowOff>
    </xdr:to>
    <xdr:pic>
      <xdr:nvPicPr>
        <xdr:cNvPr id="831" name="ID_C42187C4ACF547F1A22DA49669677CB7"/>
        <xdr:cNvPicPr>
          <a:picLocks noChangeAspect="1"/>
        </xdr:cNvPicPr>
      </xdr:nvPicPr>
      <xdr:blipFill>
        <a:blip r:embed="rId434"/>
        <a:stretch>
          <a:fillRect/>
        </a:stretch>
      </xdr:blipFill>
      <xdr:spPr>
        <a:xfrm>
          <a:off x="18483580" y="24542750"/>
          <a:ext cx="7629525" cy="2085975"/>
        </a:xfrm>
        <a:prstGeom prst="rect">
          <a:avLst/>
        </a:prstGeom>
        <a:noFill/>
        <a:ln w="9525">
          <a:noFill/>
        </a:ln>
      </xdr:spPr>
    </xdr:pic>
    <xdr:clientData/>
  </xdr:twoCellAnchor>
  <xdr:twoCellAnchor editAs="oneCell">
    <xdr:from>
      <xdr:col>0</xdr:col>
      <xdr:colOff>0</xdr:colOff>
      <xdr:row>0</xdr:row>
      <xdr:rowOff>0</xdr:rowOff>
    </xdr:from>
    <xdr:to>
      <xdr:col>11</xdr:col>
      <xdr:colOff>457200</xdr:colOff>
      <xdr:row>8</xdr:row>
      <xdr:rowOff>0</xdr:rowOff>
    </xdr:to>
    <xdr:pic>
      <xdr:nvPicPr>
        <xdr:cNvPr id="832" name="ID_A350A0BF890E4B6396AE143BA26C3D60"/>
        <xdr:cNvPicPr>
          <a:picLocks noChangeAspect="1"/>
        </xdr:cNvPicPr>
      </xdr:nvPicPr>
      <xdr:blipFill>
        <a:blip r:embed="rId435"/>
        <a:stretch>
          <a:fillRect/>
        </a:stretch>
      </xdr:blipFill>
      <xdr:spPr>
        <a:xfrm>
          <a:off x="18483580" y="4305300"/>
          <a:ext cx="8001000" cy="1447800"/>
        </a:xfrm>
        <a:prstGeom prst="rect">
          <a:avLst/>
        </a:prstGeom>
        <a:noFill/>
        <a:ln w="9525">
          <a:noFill/>
        </a:ln>
      </xdr:spPr>
    </xdr:pic>
    <xdr:clientData/>
  </xdr:twoCellAnchor>
  <xdr:twoCellAnchor editAs="oneCell">
    <xdr:from>
      <xdr:col>0</xdr:col>
      <xdr:colOff>0</xdr:colOff>
      <xdr:row>0</xdr:row>
      <xdr:rowOff>0</xdr:rowOff>
    </xdr:from>
    <xdr:to>
      <xdr:col>10</xdr:col>
      <xdr:colOff>657225</xdr:colOff>
      <xdr:row>8</xdr:row>
      <xdr:rowOff>85725</xdr:rowOff>
    </xdr:to>
    <xdr:pic>
      <xdr:nvPicPr>
        <xdr:cNvPr id="833" name="ID_9013F612402043BE9E13125598FA387F"/>
        <xdr:cNvPicPr>
          <a:picLocks noChangeAspect="1"/>
        </xdr:cNvPicPr>
      </xdr:nvPicPr>
      <xdr:blipFill>
        <a:blip r:embed="rId436"/>
        <a:stretch>
          <a:fillRect/>
        </a:stretch>
      </xdr:blipFill>
      <xdr:spPr>
        <a:xfrm>
          <a:off x="18483580" y="14693900"/>
          <a:ext cx="7515225" cy="1533525"/>
        </a:xfrm>
        <a:prstGeom prst="rect">
          <a:avLst/>
        </a:prstGeom>
        <a:noFill/>
        <a:ln w="9525">
          <a:noFill/>
        </a:ln>
      </xdr:spPr>
    </xdr:pic>
    <xdr:clientData/>
  </xdr:twoCellAnchor>
  <xdr:twoCellAnchor editAs="oneCell">
    <xdr:from>
      <xdr:col>0</xdr:col>
      <xdr:colOff>0</xdr:colOff>
      <xdr:row>0</xdr:row>
      <xdr:rowOff>0</xdr:rowOff>
    </xdr:from>
    <xdr:to>
      <xdr:col>12</xdr:col>
      <xdr:colOff>123825</xdr:colOff>
      <xdr:row>17</xdr:row>
      <xdr:rowOff>0</xdr:rowOff>
    </xdr:to>
    <xdr:pic>
      <xdr:nvPicPr>
        <xdr:cNvPr id="834" name="ID_D23CDB35367F402CB08ADF94471C514D"/>
        <xdr:cNvPicPr>
          <a:picLocks noChangeAspect="1"/>
        </xdr:cNvPicPr>
      </xdr:nvPicPr>
      <xdr:blipFill>
        <a:blip r:embed="rId437"/>
        <a:stretch>
          <a:fillRect/>
        </a:stretch>
      </xdr:blipFill>
      <xdr:spPr>
        <a:xfrm>
          <a:off x="18483580" y="4724400"/>
          <a:ext cx="8353425" cy="3076575"/>
        </a:xfrm>
        <a:prstGeom prst="rect">
          <a:avLst/>
        </a:prstGeom>
        <a:noFill/>
        <a:ln w="9525">
          <a:noFill/>
        </a:ln>
      </xdr:spPr>
    </xdr:pic>
    <xdr:clientData/>
  </xdr:twoCellAnchor>
  <xdr:twoCellAnchor editAs="oneCell">
    <xdr:from>
      <xdr:col>0</xdr:col>
      <xdr:colOff>0</xdr:colOff>
      <xdr:row>0</xdr:row>
      <xdr:rowOff>0</xdr:rowOff>
    </xdr:from>
    <xdr:to>
      <xdr:col>3</xdr:col>
      <xdr:colOff>257175</xdr:colOff>
      <xdr:row>10</xdr:row>
      <xdr:rowOff>114300</xdr:rowOff>
    </xdr:to>
    <xdr:pic>
      <xdr:nvPicPr>
        <xdr:cNvPr id="835" name="ID_9C1011A7247D438AABEA22CB12555E2E"/>
        <xdr:cNvPicPr>
          <a:picLocks noChangeAspect="1"/>
        </xdr:cNvPicPr>
      </xdr:nvPicPr>
      <xdr:blipFill>
        <a:blip r:embed="rId438"/>
        <a:stretch>
          <a:fillRect/>
        </a:stretch>
      </xdr:blipFill>
      <xdr:spPr>
        <a:xfrm>
          <a:off x="18483580" y="5473700"/>
          <a:ext cx="2314575" cy="1924050"/>
        </a:xfrm>
        <a:prstGeom prst="rect">
          <a:avLst/>
        </a:prstGeom>
        <a:noFill/>
        <a:ln w="9525">
          <a:noFill/>
        </a:ln>
      </xdr:spPr>
    </xdr:pic>
    <xdr:clientData/>
  </xdr:twoCellAnchor>
  <xdr:twoCellAnchor editAs="oneCell">
    <xdr:from>
      <xdr:col>0</xdr:col>
      <xdr:colOff>0</xdr:colOff>
      <xdr:row>0</xdr:row>
      <xdr:rowOff>0</xdr:rowOff>
    </xdr:from>
    <xdr:to>
      <xdr:col>11</xdr:col>
      <xdr:colOff>428625</xdr:colOff>
      <xdr:row>9</xdr:row>
      <xdr:rowOff>142875</xdr:rowOff>
    </xdr:to>
    <xdr:pic>
      <xdr:nvPicPr>
        <xdr:cNvPr id="836" name="ID_D27B3B13C493497498B71BAD11D54836"/>
        <xdr:cNvPicPr>
          <a:picLocks noChangeAspect="1"/>
        </xdr:cNvPicPr>
      </xdr:nvPicPr>
      <xdr:blipFill>
        <a:blip r:embed="rId439"/>
        <a:stretch>
          <a:fillRect/>
        </a:stretch>
      </xdr:blipFill>
      <xdr:spPr>
        <a:xfrm>
          <a:off x="18483580" y="25800050"/>
          <a:ext cx="7972425" cy="1771650"/>
        </a:xfrm>
        <a:prstGeom prst="rect">
          <a:avLst/>
        </a:prstGeom>
        <a:noFill/>
        <a:ln w="9525">
          <a:noFill/>
        </a:ln>
      </xdr:spPr>
    </xdr:pic>
    <xdr:clientData/>
  </xdr:twoCellAnchor>
  <xdr:twoCellAnchor editAs="oneCell">
    <xdr:from>
      <xdr:col>0</xdr:col>
      <xdr:colOff>0</xdr:colOff>
      <xdr:row>0</xdr:row>
      <xdr:rowOff>0</xdr:rowOff>
    </xdr:from>
    <xdr:to>
      <xdr:col>12</xdr:col>
      <xdr:colOff>257175</xdr:colOff>
      <xdr:row>27</xdr:row>
      <xdr:rowOff>0</xdr:rowOff>
    </xdr:to>
    <xdr:pic>
      <xdr:nvPicPr>
        <xdr:cNvPr id="837" name="ID_7144B63ED10C4C5CA98C84986E921917"/>
        <xdr:cNvPicPr>
          <a:picLocks noChangeAspect="1"/>
        </xdr:cNvPicPr>
      </xdr:nvPicPr>
      <xdr:blipFill>
        <a:blip r:embed="rId440"/>
        <a:stretch>
          <a:fillRect/>
        </a:stretch>
      </xdr:blipFill>
      <xdr:spPr>
        <a:xfrm>
          <a:off x="18483580" y="5892800"/>
          <a:ext cx="8486775" cy="4886325"/>
        </a:xfrm>
        <a:prstGeom prst="rect">
          <a:avLst/>
        </a:prstGeom>
        <a:noFill/>
        <a:ln w="9525">
          <a:noFill/>
        </a:ln>
      </xdr:spPr>
    </xdr:pic>
    <xdr:clientData/>
  </xdr:twoCellAnchor>
  <xdr:twoCellAnchor editAs="oneCell">
    <xdr:from>
      <xdr:col>0</xdr:col>
      <xdr:colOff>0</xdr:colOff>
      <xdr:row>0</xdr:row>
      <xdr:rowOff>0</xdr:rowOff>
    </xdr:from>
    <xdr:to>
      <xdr:col>11</xdr:col>
      <xdr:colOff>400050</xdr:colOff>
      <xdr:row>16</xdr:row>
      <xdr:rowOff>152400</xdr:rowOff>
    </xdr:to>
    <xdr:pic>
      <xdr:nvPicPr>
        <xdr:cNvPr id="838" name="ID_520B9A1CB94F4BD7993DB2A1FA56AD02"/>
        <xdr:cNvPicPr>
          <a:picLocks noChangeAspect="1"/>
        </xdr:cNvPicPr>
      </xdr:nvPicPr>
      <xdr:blipFill>
        <a:blip r:embed="rId441"/>
        <a:stretch>
          <a:fillRect/>
        </a:stretch>
      </xdr:blipFill>
      <xdr:spPr>
        <a:xfrm>
          <a:off x="18483580" y="26219150"/>
          <a:ext cx="7943850" cy="3048000"/>
        </a:xfrm>
        <a:prstGeom prst="rect">
          <a:avLst/>
        </a:prstGeom>
        <a:noFill/>
        <a:ln w="9525">
          <a:noFill/>
        </a:ln>
      </xdr:spPr>
    </xdr:pic>
    <xdr:clientData/>
  </xdr:twoCellAnchor>
  <xdr:twoCellAnchor editAs="oneCell">
    <xdr:from>
      <xdr:col>0</xdr:col>
      <xdr:colOff>0</xdr:colOff>
      <xdr:row>0</xdr:row>
      <xdr:rowOff>0</xdr:rowOff>
    </xdr:from>
    <xdr:to>
      <xdr:col>12</xdr:col>
      <xdr:colOff>19050</xdr:colOff>
      <xdr:row>16</xdr:row>
      <xdr:rowOff>171450</xdr:rowOff>
    </xdr:to>
    <xdr:pic>
      <xdr:nvPicPr>
        <xdr:cNvPr id="839" name="ID_AABDE18233CA40F58BE84441F8FE560C"/>
        <xdr:cNvPicPr>
          <a:picLocks noChangeAspect="1"/>
        </xdr:cNvPicPr>
      </xdr:nvPicPr>
      <xdr:blipFill>
        <a:blip r:embed="rId442"/>
        <a:stretch>
          <a:fillRect/>
        </a:stretch>
      </xdr:blipFill>
      <xdr:spPr>
        <a:xfrm>
          <a:off x="18483580" y="6311900"/>
          <a:ext cx="8248650" cy="3067050"/>
        </a:xfrm>
        <a:prstGeom prst="rect">
          <a:avLst/>
        </a:prstGeom>
        <a:noFill/>
        <a:ln w="9525">
          <a:noFill/>
        </a:ln>
      </xdr:spPr>
    </xdr:pic>
    <xdr:clientData/>
  </xdr:twoCellAnchor>
  <xdr:twoCellAnchor editAs="oneCell">
    <xdr:from>
      <xdr:col>0</xdr:col>
      <xdr:colOff>0</xdr:colOff>
      <xdr:row>0</xdr:row>
      <xdr:rowOff>0</xdr:rowOff>
    </xdr:from>
    <xdr:to>
      <xdr:col>11</xdr:col>
      <xdr:colOff>333375</xdr:colOff>
      <xdr:row>16</xdr:row>
      <xdr:rowOff>123825</xdr:rowOff>
    </xdr:to>
    <xdr:pic>
      <xdr:nvPicPr>
        <xdr:cNvPr id="840" name="ID_D155F051103B4BAB961D63DF1FC17F9D"/>
        <xdr:cNvPicPr>
          <a:picLocks noChangeAspect="1"/>
        </xdr:cNvPicPr>
      </xdr:nvPicPr>
      <xdr:blipFill>
        <a:blip r:embed="rId443"/>
        <a:stretch>
          <a:fillRect/>
        </a:stretch>
      </xdr:blipFill>
      <xdr:spPr>
        <a:xfrm>
          <a:off x="18483580" y="16370300"/>
          <a:ext cx="7877175" cy="3019425"/>
        </a:xfrm>
        <a:prstGeom prst="rect">
          <a:avLst/>
        </a:prstGeom>
        <a:noFill/>
        <a:ln w="9525">
          <a:noFill/>
        </a:ln>
      </xdr:spPr>
    </xdr:pic>
    <xdr:clientData/>
  </xdr:twoCellAnchor>
  <xdr:twoCellAnchor editAs="oneCell">
    <xdr:from>
      <xdr:col>0</xdr:col>
      <xdr:colOff>0</xdr:colOff>
      <xdr:row>0</xdr:row>
      <xdr:rowOff>0</xdr:rowOff>
    </xdr:from>
    <xdr:to>
      <xdr:col>12</xdr:col>
      <xdr:colOff>28575</xdr:colOff>
      <xdr:row>17</xdr:row>
      <xdr:rowOff>9525</xdr:rowOff>
    </xdr:to>
    <xdr:pic>
      <xdr:nvPicPr>
        <xdr:cNvPr id="841" name="ID_33F90D53E98C4DF2887877401A3FCE67"/>
        <xdr:cNvPicPr>
          <a:picLocks noChangeAspect="1"/>
        </xdr:cNvPicPr>
      </xdr:nvPicPr>
      <xdr:blipFill>
        <a:blip r:embed="rId444"/>
        <a:stretch>
          <a:fillRect/>
        </a:stretch>
      </xdr:blipFill>
      <xdr:spPr>
        <a:xfrm>
          <a:off x="18483580" y="6731000"/>
          <a:ext cx="8258175" cy="3086100"/>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8</xdr:row>
      <xdr:rowOff>19050</xdr:rowOff>
    </xdr:to>
    <xdr:pic>
      <xdr:nvPicPr>
        <xdr:cNvPr id="842" name="ID_0B6526383B3A4D878CAD35F0BC4C01C0"/>
        <xdr:cNvPicPr>
          <a:picLocks noChangeAspect="1"/>
        </xdr:cNvPicPr>
      </xdr:nvPicPr>
      <xdr:blipFill>
        <a:blip r:embed="rId445"/>
        <a:stretch>
          <a:fillRect/>
        </a:stretch>
      </xdr:blipFill>
      <xdr:spPr>
        <a:xfrm>
          <a:off x="18483580" y="36696650"/>
          <a:ext cx="7000875" cy="1466850"/>
        </a:xfrm>
        <a:prstGeom prst="rect">
          <a:avLst/>
        </a:prstGeom>
        <a:noFill/>
        <a:ln w="9525">
          <a:noFill/>
        </a:ln>
      </xdr:spPr>
    </xdr:pic>
    <xdr:clientData/>
  </xdr:twoCellAnchor>
  <xdr:twoCellAnchor editAs="oneCell">
    <xdr:from>
      <xdr:col>0</xdr:col>
      <xdr:colOff>0</xdr:colOff>
      <xdr:row>0</xdr:row>
      <xdr:rowOff>0</xdr:rowOff>
    </xdr:from>
    <xdr:to>
      <xdr:col>12</xdr:col>
      <xdr:colOff>0</xdr:colOff>
      <xdr:row>16</xdr:row>
      <xdr:rowOff>133350</xdr:rowOff>
    </xdr:to>
    <xdr:pic>
      <xdr:nvPicPr>
        <xdr:cNvPr id="843" name="ID_D795FE7072EE4B3FBE9165AF2E002EDE"/>
        <xdr:cNvPicPr>
          <a:picLocks noChangeAspect="1"/>
        </xdr:cNvPicPr>
      </xdr:nvPicPr>
      <xdr:blipFill>
        <a:blip r:embed="rId446"/>
        <a:stretch>
          <a:fillRect/>
        </a:stretch>
      </xdr:blipFill>
      <xdr:spPr>
        <a:xfrm>
          <a:off x="18483580" y="7150100"/>
          <a:ext cx="8229600" cy="3028950"/>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142875</xdr:rowOff>
    </xdr:to>
    <xdr:pic>
      <xdr:nvPicPr>
        <xdr:cNvPr id="844" name="ID_F8EB492DFCD04D6BAA0ADEB90248C93E"/>
        <xdr:cNvPicPr>
          <a:picLocks noChangeAspect="1"/>
        </xdr:cNvPicPr>
      </xdr:nvPicPr>
      <xdr:blipFill>
        <a:blip r:embed="rId447"/>
        <a:stretch>
          <a:fillRect/>
        </a:stretch>
      </xdr:blipFill>
      <xdr:spPr>
        <a:xfrm>
          <a:off x="18483580" y="17208500"/>
          <a:ext cx="7934325" cy="3038475"/>
        </a:xfrm>
        <a:prstGeom prst="rect">
          <a:avLst/>
        </a:prstGeom>
        <a:noFill/>
        <a:ln w="9525">
          <a:noFill/>
        </a:ln>
      </xdr:spPr>
    </xdr:pic>
    <xdr:clientData/>
  </xdr:twoCellAnchor>
  <xdr:twoCellAnchor editAs="oneCell">
    <xdr:from>
      <xdr:col>0</xdr:col>
      <xdr:colOff>0</xdr:colOff>
      <xdr:row>0</xdr:row>
      <xdr:rowOff>0</xdr:rowOff>
    </xdr:from>
    <xdr:to>
      <xdr:col>10</xdr:col>
      <xdr:colOff>657225</xdr:colOff>
      <xdr:row>17</xdr:row>
      <xdr:rowOff>19050</xdr:rowOff>
    </xdr:to>
    <xdr:pic>
      <xdr:nvPicPr>
        <xdr:cNvPr id="845" name="ID_622D6DC377FF470F85354C95EC6B745E"/>
        <xdr:cNvPicPr>
          <a:picLocks noChangeAspect="1"/>
        </xdr:cNvPicPr>
      </xdr:nvPicPr>
      <xdr:blipFill>
        <a:blip r:embed="rId448"/>
        <a:stretch>
          <a:fillRect/>
        </a:stretch>
      </xdr:blipFill>
      <xdr:spPr>
        <a:xfrm>
          <a:off x="18483580" y="27057350"/>
          <a:ext cx="7515225" cy="3095625"/>
        </a:xfrm>
        <a:prstGeom prst="rect">
          <a:avLst/>
        </a:prstGeom>
        <a:noFill/>
        <a:ln w="9525">
          <a:noFill/>
        </a:ln>
      </xdr:spPr>
    </xdr:pic>
    <xdr:clientData/>
  </xdr:twoCellAnchor>
  <xdr:twoCellAnchor editAs="oneCell">
    <xdr:from>
      <xdr:col>0</xdr:col>
      <xdr:colOff>0</xdr:colOff>
      <xdr:row>0</xdr:row>
      <xdr:rowOff>0</xdr:rowOff>
    </xdr:from>
    <xdr:to>
      <xdr:col>11</xdr:col>
      <xdr:colOff>419100</xdr:colOff>
      <xdr:row>16</xdr:row>
      <xdr:rowOff>161925</xdr:rowOff>
    </xdr:to>
    <xdr:pic>
      <xdr:nvPicPr>
        <xdr:cNvPr id="846" name="ID_60E623F45B8E4F8B8BD534D6FD01C315"/>
        <xdr:cNvPicPr>
          <a:picLocks noChangeAspect="1"/>
        </xdr:cNvPicPr>
      </xdr:nvPicPr>
      <xdr:blipFill>
        <a:blip r:embed="rId449"/>
        <a:stretch>
          <a:fillRect/>
        </a:stretch>
      </xdr:blipFill>
      <xdr:spPr>
        <a:xfrm>
          <a:off x="18483580" y="17627600"/>
          <a:ext cx="7962900" cy="3057525"/>
        </a:xfrm>
        <a:prstGeom prst="rect">
          <a:avLst/>
        </a:prstGeom>
        <a:noFill/>
        <a:ln w="9525">
          <a:noFill/>
        </a:ln>
      </xdr:spPr>
    </xdr:pic>
    <xdr:clientData/>
  </xdr:twoCellAnchor>
  <xdr:twoCellAnchor editAs="oneCell">
    <xdr:from>
      <xdr:col>0</xdr:col>
      <xdr:colOff>0</xdr:colOff>
      <xdr:row>0</xdr:row>
      <xdr:rowOff>0</xdr:rowOff>
    </xdr:from>
    <xdr:to>
      <xdr:col>10</xdr:col>
      <xdr:colOff>657225</xdr:colOff>
      <xdr:row>17</xdr:row>
      <xdr:rowOff>0</xdr:rowOff>
    </xdr:to>
    <xdr:pic>
      <xdr:nvPicPr>
        <xdr:cNvPr id="847" name="ID_5E54F8129EA64C60A30B247FEA6CBF2C"/>
        <xdr:cNvPicPr>
          <a:picLocks noChangeAspect="1"/>
        </xdr:cNvPicPr>
      </xdr:nvPicPr>
      <xdr:blipFill>
        <a:blip r:embed="rId450"/>
        <a:stretch>
          <a:fillRect/>
        </a:stretch>
      </xdr:blipFill>
      <xdr:spPr>
        <a:xfrm>
          <a:off x="18483580" y="27476450"/>
          <a:ext cx="7515225" cy="3076575"/>
        </a:xfrm>
        <a:prstGeom prst="rect">
          <a:avLst/>
        </a:prstGeom>
        <a:noFill/>
        <a:ln w="9525">
          <a:noFill/>
        </a:ln>
      </xdr:spPr>
    </xdr:pic>
    <xdr:clientData/>
  </xdr:twoCellAnchor>
  <xdr:twoCellAnchor editAs="oneCell">
    <xdr:from>
      <xdr:col>0</xdr:col>
      <xdr:colOff>0</xdr:colOff>
      <xdr:row>0</xdr:row>
      <xdr:rowOff>0</xdr:rowOff>
    </xdr:from>
    <xdr:to>
      <xdr:col>12</xdr:col>
      <xdr:colOff>28575</xdr:colOff>
      <xdr:row>7</xdr:row>
      <xdr:rowOff>142875</xdr:rowOff>
    </xdr:to>
    <xdr:pic>
      <xdr:nvPicPr>
        <xdr:cNvPr id="848" name="ID_2B4901ACFFA6472593EC2E62B9FDD51B"/>
        <xdr:cNvPicPr>
          <a:picLocks noChangeAspect="1"/>
        </xdr:cNvPicPr>
      </xdr:nvPicPr>
      <xdr:blipFill>
        <a:blip r:embed="rId451"/>
        <a:stretch>
          <a:fillRect/>
        </a:stretch>
      </xdr:blipFill>
      <xdr:spPr>
        <a:xfrm>
          <a:off x="18483580" y="7569200"/>
          <a:ext cx="8258175" cy="1409700"/>
        </a:xfrm>
        <a:prstGeom prst="rect">
          <a:avLst/>
        </a:prstGeom>
        <a:noFill/>
        <a:ln w="9525">
          <a:noFill/>
        </a:ln>
      </xdr:spPr>
    </xdr:pic>
    <xdr:clientData/>
  </xdr:twoCellAnchor>
  <xdr:twoCellAnchor editAs="oneCell">
    <xdr:from>
      <xdr:col>0</xdr:col>
      <xdr:colOff>0</xdr:colOff>
      <xdr:row>0</xdr:row>
      <xdr:rowOff>0</xdr:rowOff>
    </xdr:from>
    <xdr:to>
      <xdr:col>11</xdr:col>
      <xdr:colOff>409575</xdr:colOff>
      <xdr:row>16</xdr:row>
      <xdr:rowOff>114300</xdr:rowOff>
    </xdr:to>
    <xdr:pic>
      <xdr:nvPicPr>
        <xdr:cNvPr id="849" name="ID_B57B821CE94D4DA288CC853211D6BC23"/>
        <xdr:cNvPicPr>
          <a:picLocks noChangeAspect="1"/>
        </xdr:cNvPicPr>
      </xdr:nvPicPr>
      <xdr:blipFill>
        <a:blip r:embed="rId452"/>
        <a:stretch>
          <a:fillRect/>
        </a:stretch>
      </xdr:blipFill>
      <xdr:spPr>
        <a:xfrm>
          <a:off x="18483580" y="7988300"/>
          <a:ext cx="7953375" cy="3009900"/>
        </a:xfrm>
        <a:prstGeom prst="rect">
          <a:avLst/>
        </a:prstGeom>
        <a:noFill/>
        <a:ln w="9525">
          <a:noFill/>
        </a:ln>
      </xdr:spPr>
    </xdr:pic>
    <xdr:clientData/>
  </xdr:twoCellAnchor>
  <xdr:twoCellAnchor editAs="oneCell">
    <xdr:from>
      <xdr:col>0</xdr:col>
      <xdr:colOff>0</xdr:colOff>
      <xdr:row>0</xdr:row>
      <xdr:rowOff>0</xdr:rowOff>
    </xdr:from>
    <xdr:to>
      <xdr:col>11</xdr:col>
      <xdr:colOff>361950</xdr:colOff>
      <xdr:row>16</xdr:row>
      <xdr:rowOff>85725</xdr:rowOff>
    </xdr:to>
    <xdr:pic>
      <xdr:nvPicPr>
        <xdr:cNvPr id="850" name="ID_8C468BCE5EF4463795FDA00E3D4AA81F"/>
        <xdr:cNvPicPr>
          <a:picLocks noChangeAspect="1"/>
        </xdr:cNvPicPr>
      </xdr:nvPicPr>
      <xdr:blipFill>
        <a:blip r:embed="rId453"/>
        <a:stretch>
          <a:fillRect/>
        </a:stretch>
      </xdr:blipFill>
      <xdr:spPr>
        <a:xfrm>
          <a:off x="18483580" y="8407400"/>
          <a:ext cx="7905750" cy="2981325"/>
        </a:xfrm>
        <a:prstGeom prst="rect">
          <a:avLst/>
        </a:prstGeom>
        <a:noFill/>
        <a:ln w="9525">
          <a:noFill/>
        </a:ln>
      </xdr:spPr>
    </xdr:pic>
    <xdr:clientData/>
  </xdr:twoCellAnchor>
  <xdr:twoCellAnchor editAs="oneCell">
    <xdr:from>
      <xdr:col>0</xdr:col>
      <xdr:colOff>0</xdr:colOff>
      <xdr:row>0</xdr:row>
      <xdr:rowOff>0</xdr:rowOff>
    </xdr:from>
    <xdr:to>
      <xdr:col>11</xdr:col>
      <xdr:colOff>371475</xdr:colOff>
      <xdr:row>17</xdr:row>
      <xdr:rowOff>9525</xdr:rowOff>
    </xdr:to>
    <xdr:pic>
      <xdr:nvPicPr>
        <xdr:cNvPr id="851" name="ID_A163DB48603A4B388D0892B47A22AE9A"/>
        <xdr:cNvPicPr>
          <a:picLocks noChangeAspect="1"/>
        </xdr:cNvPicPr>
      </xdr:nvPicPr>
      <xdr:blipFill>
        <a:blip r:embed="rId454"/>
        <a:stretch>
          <a:fillRect/>
        </a:stretch>
      </xdr:blipFill>
      <xdr:spPr>
        <a:xfrm>
          <a:off x="18483580" y="18465800"/>
          <a:ext cx="7915275" cy="3086100"/>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17</xdr:row>
      <xdr:rowOff>28575</xdr:rowOff>
    </xdr:to>
    <xdr:pic>
      <xdr:nvPicPr>
        <xdr:cNvPr id="852" name="ID_E17530AA59BD49B6BBAA29402E44758C"/>
        <xdr:cNvPicPr>
          <a:picLocks noChangeAspect="1"/>
        </xdr:cNvPicPr>
      </xdr:nvPicPr>
      <xdr:blipFill>
        <a:blip r:embed="rId455"/>
        <a:stretch>
          <a:fillRect/>
        </a:stretch>
      </xdr:blipFill>
      <xdr:spPr>
        <a:xfrm>
          <a:off x="18483580" y="28314650"/>
          <a:ext cx="7458075" cy="3105150"/>
        </a:xfrm>
        <a:prstGeom prst="rect">
          <a:avLst/>
        </a:prstGeom>
        <a:noFill/>
        <a:ln w="9525">
          <a:noFill/>
        </a:ln>
      </xdr:spPr>
    </xdr:pic>
    <xdr:clientData/>
  </xdr:twoCellAnchor>
  <xdr:twoCellAnchor editAs="oneCell">
    <xdr:from>
      <xdr:col>0</xdr:col>
      <xdr:colOff>0</xdr:colOff>
      <xdr:row>0</xdr:row>
      <xdr:rowOff>0</xdr:rowOff>
    </xdr:from>
    <xdr:to>
      <xdr:col>11</xdr:col>
      <xdr:colOff>438150</xdr:colOff>
      <xdr:row>16</xdr:row>
      <xdr:rowOff>152400</xdr:rowOff>
    </xdr:to>
    <xdr:pic>
      <xdr:nvPicPr>
        <xdr:cNvPr id="853" name="ID_AEA7FA2FE3AD407DB77C0F8C76FD4AB1"/>
        <xdr:cNvPicPr>
          <a:picLocks noChangeAspect="1"/>
        </xdr:cNvPicPr>
      </xdr:nvPicPr>
      <xdr:blipFill>
        <a:blip r:embed="rId456"/>
        <a:stretch>
          <a:fillRect/>
        </a:stretch>
      </xdr:blipFill>
      <xdr:spPr>
        <a:xfrm>
          <a:off x="18483580" y="37953950"/>
          <a:ext cx="7981950" cy="3048000"/>
        </a:xfrm>
        <a:prstGeom prst="rect">
          <a:avLst/>
        </a:prstGeom>
        <a:noFill/>
        <a:ln w="9525">
          <a:noFill/>
        </a:ln>
      </xdr:spPr>
    </xdr:pic>
    <xdr:clientData/>
  </xdr:twoCellAnchor>
  <xdr:twoCellAnchor editAs="oneCell">
    <xdr:from>
      <xdr:col>0</xdr:col>
      <xdr:colOff>0</xdr:colOff>
      <xdr:row>0</xdr:row>
      <xdr:rowOff>0</xdr:rowOff>
    </xdr:from>
    <xdr:to>
      <xdr:col>3</xdr:col>
      <xdr:colOff>133350</xdr:colOff>
      <xdr:row>10</xdr:row>
      <xdr:rowOff>76200</xdr:rowOff>
    </xdr:to>
    <xdr:pic>
      <xdr:nvPicPr>
        <xdr:cNvPr id="854" name="ID_4EF1B327F6044FC7B7124F1A481235B8"/>
        <xdr:cNvPicPr>
          <a:picLocks noChangeAspect="1"/>
        </xdr:cNvPicPr>
      </xdr:nvPicPr>
      <xdr:blipFill>
        <a:blip r:embed="rId457"/>
        <a:stretch>
          <a:fillRect/>
        </a:stretch>
      </xdr:blipFill>
      <xdr:spPr>
        <a:xfrm>
          <a:off x="18483580" y="28733750"/>
          <a:ext cx="2190750" cy="1885950"/>
        </a:xfrm>
        <a:prstGeom prst="rect">
          <a:avLst/>
        </a:prstGeom>
        <a:noFill/>
        <a:ln w="9525">
          <a:noFill/>
        </a:ln>
      </xdr:spPr>
    </xdr:pic>
    <xdr:clientData/>
  </xdr:twoCellAnchor>
  <xdr:twoCellAnchor editAs="oneCell">
    <xdr:from>
      <xdr:col>0</xdr:col>
      <xdr:colOff>0</xdr:colOff>
      <xdr:row>0</xdr:row>
      <xdr:rowOff>0</xdr:rowOff>
    </xdr:from>
    <xdr:to>
      <xdr:col>11</xdr:col>
      <xdr:colOff>285750</xdr:colOff>
      <xdr:row>16</xdr:row>
      <xdr:rowOff>142875</xdr:rowOff>
    </xdr:to>
    <xdr:pic>
      <xdr:nvPicPr>
        <xdr:cNvPr id="855" name="ID_2E7C0D8B84834A158104103A624782CB"/>
        <xdr:cNvPicPr>
          <a:picLocks noChangeAspect="1"/>
        </xdr:cNvPicPr>
      </xdr:nvPicPr>
      <xdr:blipFill>
        <a:blip r:embed="rId458"/>
        <a:stretch>
          <a:fillRect/>
        </a:stretch>
      </xdr:blipFill>
      <xdr:spPr>
        <a:xfrm>
          <a:off x="18483580" y="8826500"/>
          <a:ext cx="7829550" cy="3038475"/>
        </a:xfrm>
        <a:prstGeom prst="rect">
          <a:avLst/>
        </a:prstGeom>
        <a:noFill/>
        <a:ln w="9525">
          <a:noFill/>
        </a:ln>
      </xdr:spPr>
    </xdr:pic>
    <xdr:clientData/>
  </xdr:twoCellAnchor>
  <xdr:twoCellAnchor editAs="oneCell">
    <xdr:from>
      <xdr:col>0</xdr:col>
      <xdr:colOff>0</xdr:colOff>
      <xdr:row>0</xdr:row>
      <xdr:rowOff>0</xdr:rowOff>
    </xdr:from>
    <xdr:to>
      <xdr:col>11</xdr:col>
      <xdr:colOff>504825</xdr:colOff>
      <xdr:row>10</xdr:row>
      <xdr:rowOff>171450</xdr:rowOff>
    </xdr:to>
    <xdr:pic>
      <xdr:nvPicPr>
        <xdr:cNvPr id="856" name="ID_0DEEF1B26A0A41D6ADB3347B227E1B69"/>
        <xdr:cNvPicPr>
          <a:picLocks noChangeAspect="1"/>
        </xdr:cNvPicPr>
      </xdr:nvPicPr>
      <xdr:blipFill>
        <a:blip r:embed="rId459"/>
        <a:stretch>
          <a:fillRect/>
        </a:stretch>
      </xdr:blipFill>
      <xdr:spPr>
        <a:xfrm>
          <a:off x="18483580" y="19304000"/>
          <a:ext cx="8048625" cy="1981200"/>
        </a:xfrm>
        <a:prstGeom prst="rect">
          <a:avLst/>
        </a:prstGeom>
        <a:noFill/>
        <a:ln w="9525">
          <a:noFill/>
        </a:ln>
      </xdr:spPr>
    </xdr:pic>
    <xdr:clientData/>
  </xdr:twoCellAnchor>
  <xdr:twoCellAnchor editAs="oneCell">
    <xdr:from>
      <xdr:col>0</xdr:col>
      <xdr:colOff>0</xdr:colOff>
      <xdr:row>0</xdr:row>
      <xdr:rowOff>0</xdr:rowOff>
    </xdr:from>
    <xdr:to>
      <xdr:col>11</xdr:col>
      <xdr:colOff>314325</xdr:colOff>
      <xdr:row>16</xdr:row>
      <xdr:rowOff>161925</xdr:rowOff>
    </xdr:to>
    <xdr:pic>
      <xdr:nvPicPr>
        <xdr:cNvPr id="857" name="ID_59670FF9C3074E64ABD5127E469381C8"/>
        <xdr:cNvPicPr>
          <a:picLocks noChangeAspect="1"/>
        </xdr:cNvPicPr>
      </xdr:nvPicPr>
      <xdr:blipFill>
        <a:blip r:embed="rId460"/>
        <a:stretch>
          <a:fillRect/>
        </a:stretch>
      </xdr:blipFill>
      <xdr:spPr>
        <a:xfrm>
          <a:off x="18483580" y="9245600"/>
          <a:ext cx="7858125" cy="3057525"/>
        </a:xfrm>
        <a:prstGeom prst="rect">
          <a:avLst/>
        </a:prstGeom>
        <a:noFill/>
        <a:ln w="9525">
          <a:noFill/>
        </a:ln>
      </xdr:spPr>
    </xdr:pic>
    <xdr:clientData/>
  </xdr:twoCellAnchor>
  <xdr:twoCellAnchor editAs="oneCell">
    <xdr:from>
      <xdr:col>0</xdr:col>
      <xdr:colOff>0</xdr:colOff>
      <xdr:row>0</xdr:row>
      <xdr:rowOff>0</xdr:rowOff>
    </xdr:from>
    <xdr:to>
      <xdr:col>11</xdr:col>
      <xdr:colOff>419100</xdr:colOff>
      <xdr:row>16</xdr:row>
      <xdr:rowOff>142875</xdr:rowOff>
    </xdr:to>
    <xdr:pic>
      <xdr:nvPicPr>
        <xdr:cNvPr id="858" name="ID_C4819DAED24843758B811A43F3F871FF"/>
        <xdr:cNvPicPr>
          <a:picLocks noChangeAspect="1"/>
        </xdr:cNvPicPr>
      </xdr:nvPicPr>
      <xdr:blipFill>
        <a:blip r:embed="rId461"/>
        <a:stretch>
          <a:fillRect/>
        </a:stretch>
      </xdr:blipFill>
      <xdr:spPr>
        <a:xfrm>
          <a:off x="18483580" y="10083800"/>
          <a:ext cx="7962900" cy="3038475"/>
        </a:xfrm>
        <a:prstGeom prst="rect">
          <a:avLst/>
        </a:prstGeom>
        <a:noFill/>
        <a:ln w="9525">
          <a:noFill/>
        </a:ln>
      </xdr:spPr>
    </xdr:pic>
    <xdr:clientData/>
  </xdr:twoCellAnchor>
  <xdr:twoCellAnchor editAs="oneCell">
    <xdr:from>
      <xdr:col>0</xdr:col>
      <xdr:colOff>0</xdr:colOff>
      <xdr:row>0</xdr:row>
      <xdr:rowOff>0</xdr:rowOff>
    </xdr:from>
    <xdr:to>
      <xdr:col>11</xdr:col>
      <xdr:colOff>342900</xdr:colOff>
      <xdr:row>16</xdr:row>
      <xdr:rowOff>152400</xdr:rowOff>
    </xdr:to>
    <xdr:pic>
      <xdr:nvPicPr>
        <xdr:cNvPr id="859" name="ID_9E7858670013490694BA88289018AFBA"/>
        <xdr:cNvPicPr>
          <a:picLocks noChangeAspect="1"/>
        </xdr:cNvPicPr>
      </xdr:nvPicPr>
      <xdr:blipFill>
        <a:blip r:embed="rId462"/>
        <a:stretch>
          <a:fillRect/>
        </a:stretch>
      </xdr:blipFill>
      <xdr:spPr>
        <a:xfrm>
          <a:off x="18483580" y="29991050"/>
          <a:ext cx="7886700" cy="3048000"/>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85725</xdr:rowOff>
    </xdr:to>
    <xdr:pic>
      <xdr:nvPicPr>
        <xdr:cNvPr id="860" name="ID_D8955422E3B74FB998ADA58481865A59"/>
        <xdr:cNvPicPr>
          <a:picLocks noChangeAspect="1"/>
        </xdr:cNvPicPr>
      </xdr:nvPicPr>
      <xdr:blipFill>
        <a:blip r:embed="rId463"/>
        <a:stretch>
          <a:fillRect/>
        </a:stretch>
      </xdr:blipFill>
      <xdr:spPr>
        <a:xfrm>
          <a:off x="18483580" y="10502900"/>
          <a:ext cx="7934325" cy="2981325"/>
        </a:xfrm>
        <a:prstGeom prst="rect">
          <a:avLst/>
        </a:prstGeom>
        <a:noFill/>
        <a:ln w="9525">
          <a:noFill/>
        </a:ln>
      </xdr:spPr>
    </xdr:pic>
    <xdr:clientData/>
  </xdr:twoCellAnchor>
  <xdr:twoCellAnchor editAs="oneCell">
    <xdr:from>
      <xdr:col>0</xdr:col>
      <xdr:colOff>0</xdr:colOff>
      <xdr:row>0</xdr:row>
      <xdr:rowOff>0</xdr:rowOff>
    </xdr:from>
    <xdr:to>
      <xdr:col>11</xdr:col>
      <xdr:colOff>457200</xdr:colOff>
      <xdr:row>10</xdr:row>
      <xdr:rowOff>95250</xdr:rowOff>
    </xdr:to>
    <xdr:pic>
      <xdr:nvPicPr>
        <xdr:cNvPr id="861" name="ID_910AF0A7269B4BD091D96FEADF329CF0"/>
        <xdr:cNvPicPr>
          <a:picLocks noChangeAspect="1"/>
        </xdr:cNvPicPr>
      </xdr:nvPicPr>
      <xdr:blipFill>
        <a:blip r:embed="rId464"/>
        <a:stretch>
          <a:fillRect/>
        </a:stretch>
      </xdr:blipFill>
      <xdr:spPr>
        <a:xfrm>
          <a:off x="18483580" y="20142200"/>
          <a:ext cx="8001000" cy="1905000"/>
        </a:xfrm>
        <a:prstGeom prst="rect">
          <a:avLst/>
        </a:prstGeom>
        <a:noFill/>
        <a:ln w="9525">
          <a:noFill/>
        </a:ln>
      </xdr:spPr>
    </xdr:pic>
    <xdr:clientData/>
  </xdr:twoCellAnchor>
  <xdr:twoCellAnchor editAs="oneCell">
    <xdr:from>
      <xdr:col>0</xdr:col>
      <xdr:colOff>0</xdr:colOff>
      <xdr:row>0</xdr:row>
      <xdr:rowOff>0</xdr:rowOff>
    </xdr:from>
    <xdr:to>
      <xdr:col>11</xdr:col>
      <xdr:colOff>428625</xdr:colOff>
      <xdr:row>16</xdr:row>
      <xdr:rowOff>123825</xdr:rowOff>
    </xdr:to>
    <xdr:pic>
      <xdr:nvPicPr>
        <xdr:cNvPr id="862" name="ID_B90BF26A1D7647C39AA0B7804E9E61A8"/>
        <xdr:cNvPicPr>
          <a:picLocks noChangeAspect="1"/>
        </xdr:cNvPicPr>
      </xdr:nvPicPr>
      <xdr:blipFill>
        <a:blip r:embed="rId465"/>
        <a:stretch>
          <a:fillRect/>
        </a:stretch>
      </xdr:blipFill>
      <xdr:spPr>
        <a:xfrm>
          <a:off x="18483580" y="10922000"/>
          <a:ext cx="7972425" cy="3019425"/>
        </a:xfrm>
        <a:prstGeom prst="rect">
          <a:avLst/>
        </a:prstGeom>
        <a:noFill/>
        <a:ln w="9525">
          <a:noFill/>
        </a:ln>
      </xdr:spPr>
    </xdr:pic>
    <xdr:clientData/>
  </xdr:twoCellAnchor>
  <xdr:twoCellAnchor editAs="oneCell">
    <xdr:from>
      <xdr:col>0</xdr:col>
      <xdr:colOff>0</xdr:colOff>
      <xdr:row>0</xdr:row>
      <xdr:rowOff>0</xdr:rowOff>
    </xdr:from>
    <xdr:to>
      <xdr:col>11</xdr:col>
      <xdr:colOff>76200</xdr:colOff>
      <xdr:row>9</xdr:row>
      <xdr:rowOff>9525</xdr:rowOff>
    </xdr:to>
    <xdr:pic>
      <xdr:nvPicPr>
        <xdr:cNvPr id="863" name="ID_979AD8AF5D3F4D15947226FCA0583E50"/>
        <xdr:cNvPicPr>
          <a:picLocks noChangeAspect="1"/>
        </xdr:cNvPicPr>
      </xdr:nvPicPr>
      <xdr:blipFill>
        <a:blip r:embed="rId466"/>
        <a:stretch>
          <a:fillRect/>
        </a:stretch>
      </xdr:blipFill>
      <xdr:spPr>
        <a:xfrm>
          <a:off x="18483580" y="30829250"/>
          <a:ext cx="7620000" cy="1638300"/>
        </a:xfrm>
        <a:prstGeom prst="rect">
          <a:avLst/>
        </a:prstGeom>
        <a:noFill/>
        <a:ln w="9525">
          <a:noFill/>
        </a:ln>
      </xdr:spPr>
    </xdr:pic>
    <xdr:clientData/>
  </xdr:twoCellAnchor>
  <xdr:twoCellAnchor editAs="oneCell">
    <xdr:from>
      <xdr:col>0</xdr:col>
      <xdr:colOff>0</xdr:colOff>
      <xdr:row>0</xdr:row>
      <xdr:rowOff>0</xdr:rowOff>
    </xdr:from>
    <xdr:to>
      <xdr:col>11</xdr:col>
      <xdr:colOff>400050</xdr:colOff>
      <xdr:row>9</xdr:row>
      <xdr:rowOff>66675</xdr:rowOff>
    </xdr:to>
    <xdr:pic>
      <xdr:nvPicPr>
        <xdr:cNvPr id="864" name="ID_9782FC5844674DD3B71FF37D51500379"/>
        <xdr:cNvPicPr>
          <a:picLocks noChangeAspect="1"/>
        </xdr:cNvPicPr>
      </xdr:nvPicPr>
      <xdr:blipFill>
        <a:blip r:embed="rId467"/>
        <a:stretch>
          <a:fillRect/>
        </a:stretch>
      </xdr:blipFill>
      <xdr:spPr>
        <a:xfrm>
          <a:off x="18483580" y="20980400"/>
          <a:ext cx="7943850" cy="1695450"/>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142875</xdr:rowOff>
    </xdr:to>
    <xdr:pic>
      <xdr:nvPicPr>
        <xdr:cNvPr id="865" name="ID_47856AD45B8A43299C5F6F5F1C7E6D68"/>
        <xdr:cNvPicPr>
          <a:picLocks noChangeAspect="1"/>
        </xdr:cNvPicPr>
      </xdr:nvPicPr>
      <xdr:blipFill>
        <a:blip r:embed="rId468"/>
        <a:stretch>
          <a:fillRect/>
        </a:stretch>
      </xdr:blipFill>
      <xdr:spPr>
        <a:xfrm>
          <a:off x="18483580" y="11341100"/>
          <a:ext cx="7934325" cy="3038475"/>
        </a:xfrm>
        <a:prstGeom prst="rect">
          <a:avLst/>
        </a:prstGeom>
        <a:noFill/>
        <a:ln w="9525">
          <a:noFill/>
        </a:ln>
      </xdr:spPr>
    </xdr:pic>
    <xdr:clientData/>
  </xdr:twoCellAnchor>
  <xdr:twoCellAnchor editAs="oneCell">
    <xdr:from>
      <xdr:col>0</xdr:col>
      <xdr:colOff>0</xdr:colOff>
      <xdr:row>0</xdr:row>
      <xdr:rowOff>0</xdr:rowOff>
    </xdr:from>
    <xdr:to>
      <xdr:col>11</xdr:col>
      <xdr:colOff>409575</xdr:colOff>
      <xdr:row>16</xdr:row>
      <xdr:rowOff>133350</xdr:rowOff>
    </xdr:to>
    <xdr:pic>
      <xdr:nvPicPr>
        <xdr:cNvPr id="866" name="ID_173ED3B4B986476AA9467105A9F2448D"/>
        <xdr:cNvPicPr>
          <a:picLocks noChangeAspect="1"/>
        </xdr:cNvPicPr>
      </xdr:nvPicPr>
      <xdr:blipFill>
        <a:blip r:embed="rId469"/>
        <a:stretch>
          <a:fillRect/>
        </a:stretch>
      </xdr:blipFill>
      <xdr:spPr>
        <a:xfrm>
          <a:off x="18483580" y="11760200"/>
          <a:ext cx="7953375" cy="3028950"/>
        </a:xfrm>
        <a:prstGeom prst="rect">
          <a:avLst/>
        </a:prstGeom>
        <a:noFill/>
        <a:ln w="9525">
          <a:noFill/>
        </a:ln>
      </xdr:spPr>
    </xdr:pic>
    <xdr:clientData/>
  </xdr:twoCellAnchor>
  <xdr:twoCellAnchor editAs="oneCell">
    <xdr:from>
      <xdr:col>0</xdr:col>
      <xdr:colOff>0</xdr:colOff>
      <xdr:row>0</xdr:row>
      <xdr:rowOff>0</xdr:rowOff>
    </xdr:from>
    <xdr:to>
      <xdr:col>11</xdr:col>
      <xdr:colOff>409575</xdr:colOff>
      <xdr:row>17</xdr:row>
      <xdr:rowOff>0</xdr:rowOff>
    </xdr:to>
    <xdr:pic>
      <xdr:nvPicPr>
        <xdr:cNvPr id="867" name="ID_576BDBE7715C48A797A8EC2614789A71"/>
        <xdr:cNvPicPr>
          <a:picLocks noChangeAspect="1"/>
        </xdr:cNvPicPr>
      </xdr:nvPicPr>
      <xdr:blipFill>
        <a:blip r:embed="rId470"/>
        <a:stretch>
          <a:fillRect/>
        </a:stretch>
      </xdr:blipFill>
      <xdr:spPr>
        <a:xfrm>
          <a:off x="18483580" y="12598400"/>
          <a:ext cx="7953375" cy="3076575"/>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123825</xdr:rowOff>
    </xdr:to>
    <xdr:pic>
      <xdr:nvPicPr>
        <xdr:cNvPr id="868" name="ID_DE8C1E98060845A4948597961292890A"/>
        <xdr:cNvPicPr>
          <a:picLocks noChangeAspect="1"/>
        </xdr:cNvPicPr>
      </xdr:nvPicPr>
      <xdr:blipFill>
        <a:blip r:embed="rId471"/>
        <a:stretch>
          <a:fillRect/>
        </a:stretch>
      </xdr:blipFill>
      <xdr:spPr>
        <a:xfrm>
          <a:off x="18483580" y="13436600"/>
          <a:ext cx="7934325" cy="3019425"/>
        </a:xfrm>
        <a:prstGeom prst="rect">
          <a:avLst/>
        </a:prstGeom>
        <a:noFill/>
        <a:ln w="9525">
          <a:noFill/>
        </a:ln>
      </xdr:spPr>
    </xdr:pic>
    <xdr:clientData/>
  </xdr:twoCellAnchor>
  <xdr:twoCellAnchor editAs="oneCell">
    <xdr:from>
      <xdr:col>0</xdr:col>
      <xdr:colOff>0</xdr:colOff>
      <xdr:row>0</xdr:row>
      <xdr:rowOff>0</xdr:rowOff>
    </xdr:from>
    <xdr:to>
      <xdr:col>10</xdr:col>
      <xdr:colOff>638175</xdr:colOff>
      <xdr:row>8</xdr:row>
      <xdr:rowOff>47625</xdr:rowOff>
    </xdr:to>
    <xdr:pic>
      <xdr:nvPicPr>
        <xdr:cNvPr id="869" name="ID_F21C78C36C2140BA8230996661E74A10"/>
        <xdr:cNvPicPr>
          <a:picLocks noChangeAspect="1"/>
        </xdr:cNvPicPr>
      </xdr:nvPicPr>
      <xdr:blipFill>
        <a:blip r:embed="rId472"/>
        <a:stretch>
          <a:fillRect/>
        </a:stretch>
      </xdr:blipFill>
      <xdr:spPr>
        <a:xfrm>
          <a:off x="18483580" y="33762950"/>
          <a:ext cx="7496175" cy="1495425"/>
        </a:xfrm>
        <a:prstGeom prst="rect">
          <a:avLst/>
        </a:prstGeom>
        <a:noFill/>
        <a:ln w="9525">
          <a:noFill/>
        </a:ln>
      </xdr:spPr>
    </xdr:pic>
    <xdr:clientData/>
  </xdr:twoCellAnchor>
  <xdr:twoCellAnchor editAs="oneCell">
    <xdr:from>
      <xdr:col>0</xdr:col>
      <xdr:colOff>0</xdr:colOff>
      <xdr:row>0</xdr:row>
      <xdr:rowOff>0</xdr:rowOff>
    </xdr:from>
    <xdr:to>
      <xdr:col>10</xdr:col>
      <xdr:colOff>638175</xdr:colOff>
      <xdr:row>8</xdr:row>
      <xdr:rowOff>123825</xdr:rowOff>
    </xdr:to>
    <xdr:pic>
      <xdr:nvPicPr>
        <xdr:cNvPr id="870" name="ID_DC3F6ABE5A4245969ABE3CBB163A3CC0"/>
        <xdr:cNvPicPr>
          <a:picLocks noChangeAspect="1"/>
        </xdr:cNvPicPr>
      </xdr:nvPicPr>
      <xdr:blipFill>
        <a:blip r:embed="rId473"/>
        <a:stretch>
          <a:fillRect/>
        </a:stretch>
      </xdr:blipFill>
      <xdr:spPr>
        <a:xfrm>
          <a:off x="18483580" y="14274800"/>
          <a:ext cx="7496175" cy="1571625"/>
        </a:xfrm>
        <a:prstGeom prst="rect">
          <a:avLst/>
        </a:prstGeom>
        <a:noFill/>
        <a:ln w="9525">
          <a:noFill/>
        </a:ln>
      </xdr:spPr>
    </xdr:pic>
    <xdr:clientData/>
  </xdr:twoCellAnchor>
  <xdr:twoCellAnchor editAs="oneCell">
    <xdr:from>
      <xdr:col>0</xdr:col>
      <xdr:colOff>0</xdr:colOff>
      <xdr:row>0</xdr:row>
      <xdr:rowOff>0</xdr:rowOff>
    </xdr:from>
    <xdr:to>
      <xdr:col>11</xdr:col>
      <xdr:colOff>342900</xdr:colOff>
      <xdr:row>13</xdr:row>
      <xdr:rowOff>57150</xdr:rowOff>
    </xdr:to>
    <xdr:pic>
      <xdr:nvPicPr>
        <xdr:cNvPr id="871" name="ID_9A3200555C6B462DB756CE7D9045789A"/>
        <xdr:cNvPicPr>
          <a:picLocks noChangeAspect="1"/>
        </xdr:cNvPicPr>
      </xdr:nvPicPr>
      <xdr:blipFill>
        <a:blip r:embed="rId474"/>
        <a:stretch>
          <a:fillRect/>
        </a:stretch>
      </xdr:blipFill>
      <xdr:spPr>
        <a:xfrm>
          <a:off x="18483580" y="15113000"/>
          <a:ext cx="7886700" cy="2409825"/>
        </a:xfrm>
        <a:prstGeom prst="rect">
          <a:avLst/>
        </a:prstGeom>
        <a:noFill/>
        <a:ln w="9525">
          <a:noFill/>
        </a:ln>
      </xdr:spPr>
    </xdr:pic>
    <xdr:clientData/>
  </xdr:twoCellAnchor>
  <xdr:twoCellAnchor editAs="oneCell">
    <xdr:from>
      <xdr:col>0</xdr:col>
      <xdr:colOff>0</xdr:colOff>
      <xdr:row>0</xdr:row>
      <xdr:rowOff>0</xdr:rowOff>
    </xdr:from>
    <xdr:to>
      <xdr:col>10</xdr:col>
      <xdr:colOff>676275</xdr:colOff>
      <xdr:row>8</xdr:row>
      <xdr:rowOff>85725</xdr:rowOff>
    </xdr:to>
    <xdr:pic>
      <xdr:nvPicPr>
        <xdr:cNvPr id="872" name="ID_25868164023F46E4816E9D40F702400D"/>
        <xdr:cNvPicPr>
          <a:picLocks noChangeAspect="1"/>
        </xdr:cNvPicPr>
      </xdr:nvPicPr>
      <xdr:blipFill>
        <a:blip r:embed="rId475"/>
        <a:stretch>
          <a:fillRect/>
        </a:stretch>
      </xdr:blipFill>
      <xdr:spPr>
        <a:xfrm>
          <a:off x="18483580" y="35020250"/>
          <a:ext cx="7534275" cy="1533525"/>
        </a:xfrm>
        <a:prstGeom prst="rect">
          <a:avLst/>
        </a:prstGeom>
        <a:noFill/>
        <a:ln w="9525">
          <a:noFill/>
        </a:ln>
      </xdr:spPr>
    </xdr:pic>
    <xdr:clientData/>
  </xdr:twoCellAnchor>
  <xdr:twoCellAnchor editAs="oneCell">
    <xdr:from>
      <xdr:col>0</xdr:col>
      <xdr:colOff>0</xdr:colOff>
      <xdr:row>0</xdr:row>
      <xdr:rowOff>0</xdr:rowOff>
    </xdr:from>
    <xdr:to>
      <xdr:col>11</xdr:col>
      <xdr:colOff>409575</xdr:colOff>
      <xdr:row>14</xdr:row>
      <xdr:rowOff>76200</xdr:rowOff>
    </xdr:to>
    <xdr:pic>
      <xdr:nvPicPr>
        <xdr:cNvPr id="873" name="ID_6D936FA609A7403BBCA18E0E550461ED"/>
        <xdr:cNvPicPr>
          <a:picLocks noChangeAspect="1"/>
        </xdr:cNvPicPr>
      </xdr:nvPicPr>
      <xdr:blipFill>
        <a:blip r:embed="rId476"/>
        <a:stretch>
          <a:fillRect/>
        </a:stretch>
      </xdr:blipFill>
      <xdr:spPr>
        <a:xfrm>
          <a:off x="18483580" y="15532100"/>
          <a:ext cx="7953375" cy="2609850"/>
        </a:xfrm>
        <a:prstGeom prst="rect">
          <a:avLst/>
        </a:prstGeom>
        <a:noFill/>
        <a:ln w="9525">
          <a:noFill/>
        </a:ln>
      </xdr:spPr>
    </xdr:pic>
    <xdr:clientData/>
  </xdr:twoCellAnchor>
  <xdr:twoCellAnchor editAs="oneCell">
    <xdr:from>
      <xdr:col>0</xdr:col>
      <xdr:colOff>0</xdr:colOff>
      <xdr:row>0</xdr:row>
      <xdr:rowOff>0</xdr:rowOff>
    </xdr:from>
    <xdr:to>
      <xdr:col>11</xdr:col>
      <xdr:colOff>447675</xdr:colOff>
      <xdr:row>16</xdr:row>
      <xdr:rowOff>171450</xdr:rowOff>
    </xdr:to>
    <xdr:pic>
      <xdr:nvPicPr>
        <xdr:cNvPr id="874" name="ID_F5F5CE75295A4C43BFF443E8013409FC"/>
        <xdr:cNvPicPr>
          <a:picLocks noChangeAspect="1"/>
        </xdr:cNvPicPr>
      </xdr:nvPicPr>
      <xdr:blipFill>
        <a:blip r:embed="rId477"/>
        <a:stretch>
          <a:fillRect/>
        </a:stretch>
      </xdr:blipFill>
      <xdr:spPr>
        <a:xfrm>
          <a:off x="18483580" y="25380950"/>
          <a:ext cx="7991475" cy="3067050"/>
        </a:xfrm>
        <a:prstGeom prst="rect">
          <a:avLst/>
        </a:prstGeom>
        <a:noFill/>
        <a:ln w="9525">
          <a:noFill/>
        </a:ln>
      </xdr:spPr>
    </xdr:pic>
    <xdr:clientData/>
  </xdr:twoCellAnchor>
  <xdr:twoCellAnchor editAs="oneCell">
    <xdr:from>
      <xdr:col>0</xdr:col>
      <xdr:colOff>0</xdr:colOff>
      <xdr:row>0</xdr:row>
      <xdr:rowOff>0</xdr:rowOff>
    </xdr:from>
    <xdr:to>
      <xdr:col>10</xdr:col>
      <xdr:colOff>200025</xdr:colOff>
      <xdr:row>8</xdr:row>
      <xdr:rowOff>123825</xdr:rowOff>
    </xdr:to>
    <xdr:pic>
      <xdr:nvPicPr>
        <xdr:cNvPr id="875" name="ID_FFC359D845FE418F9C54C361F66C82C4"/>
        <xdr:cNvPicPr>
          <a:picLocks noChangeAspect="1"/>
        </xdr:cNvPicPr>
      </xdr:nvPicPr>
      <xdr:blipFill>
        <a:blip r:embed="rId478"/>
        <a:stretch>
          <a:fillRect/>
        </a:stretch>
      </xdr:blipFill>
      <xdr:spPr>
        <a:xfrm>
          <a:off x="18483580" y="35439350"/>
          <a:ext cx="7058025" cy="1571625"/>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16</xdr:row>
      <xdr:rowOff>142875</xdr:rowOff>
    </xdr:to>
    <xdr:pic>
      <xdr:nvPicPr>
        <xdr:cNvPr id="876" name="ID_58C9D59DB576458786E0DCF18785A368"/>
        <xdr:cNvPicPr>
          <a:picLocks noChangeAspect="1"/>
        </xdr:cNvPicPr>
      </xdr:nvPicPr>
      <xdr:blipFill>
        <a:blip r:embed="rId479"/>
        <a:stretch>
          <a:fillRect/>
        </a:stretch>
      </xdr:blipFill>
      <xdr:spPr>
        <a:xfrm>
          <a:off x="18483580" y="15951200"/>
          <a:ext cx="7924800" cy="3038475"/>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123825</xdr:rowOff>
    </xdr:to>
    <xdr:pic>
      <xdr:nvPicPr>
        <xdr:cNvPr id="877" name="ID_C296A20E82AF47318EF95993762B8A42"/>
        <xdr:cNvPicPr>
          <a:picLocks noChangeAspect="1"/>
        </xdr:cNvPicPr>
      </xdr:nvPicPr>
      <xdr:blipFill>
        <a:blip r:embed="rId480"/>
        <a:stretch>
          <a:fillRect/>
        </a:stretch>
      </xdr:blipFill>
      <xdr:spPr>
        <a:xfrm>
          <a:off x="18483580" y="16789400"/>
          <a:ext cx="7934325" cy="3019425"/>
        </a:xfrm>
        <a:prstGeom prst="rect">
          <a:avLst/>
        </a:prstGeom>
        <a:noFill/>
        <a:ln w="9525">
          <a:noFill/>
        </a:ln>
      </xdr:spPr>
    </xdr:pic>
    <xdr:clientData/>
  </xdr:twoCellAnchor>
  <xdr:twoCellAnchor editAs="oneCell">
    <xdr:from>
      <xdr:col>0</xdr:col>
      <xdr:colOff>0</xdr:colOff>
      <xdr:row>0</xdr:row>
      <xdr:rowOff>0</xdr:rowOff>
    </xdr:from>
    <xdr:to>
      <xdr:col>11</xdr:col>
      <xdr:colOff>361950</xdr:colOff>
      <xdr:row>16</xdr:row>
      <xdr:rowOff>171450</xdr:rowOff>
    </xdr:to>
    <xdr:pic>
      <xdr:nvPicPr>
        <xdr:cNvPr id="878" name="ID_607E0E5CD9EF48E48B3A8DAFF35D8D9A"/>
        <xdr:cNvPicPr>
          <a:picLocks noChangeAspect="1"/>
        </xdr:cNvPicPr>
      </xdr:nvPicPr>
      <xdr:blipFill>
        <a:blip r:embed="rId481"/>
        <a:stretch>
          <a:fillRect/>
        </a:stretch>
      </xdr:blipFill>
      <xdr:spPr>
        <a:xfrm>
          <a:off x="18483580" y="18046700"/>
          <a:ext cx="7905750" cy="3067050"/>
        </a:xfrm>
        <a:prstGeom prst="rect">
          <a:avLst/>
        </a:prstGeom>
        <a:noFill/>
        <a:ln w="9525">
          <a:noFill/>
        </a:ln>
      </xdr:spPr>
    </xdr:pic>
    <xdr:clientData/>
  </xdr:twoCellAnchor>
  <xdr:twoCellAnchor editAs="oneCell">
    <xdr:from>
      <xdr:col>0</xdr:col>
      <xdr:colOff>0</xdr:colOff>
      <xdr:row>0</xdr:row>
      <xdr:rowOff>0</xdr:rowOff>
    </xdr:from>
    <xdr:to>
      <xdr:col>11</xdr:col>
      <xdr:colOff>361950</xdr:colOff>
      <xdr:row>13</xdr:row>
      <xdr:rowOff>28575</xdr:rowOff>
    </xdr:to>
    <xdr:pic>
      <xdr:nvPicPr>
        <xdr:cNvPr id="879" name="ID_45208DBE7C6046F8ABC5ACE648CD04B6"/>
        <xdr:cNvPicPr>
          <a:picLocks noChangeAspect="1"/>
        </xdr:cNvPicPr>
      </xdr:nvPicPr>
      <xdr:blipFill>
        <a:blip r:embed="rId482"/>
        <a:stretch>
          <a:fillRect/>
        </a:stretch>
      </xdr:blipFill>
      <xdr:spPr>
        <a:xfrm>
          <a:off x="18483580" y="18884900"/>
          <a:ext cx="7905750" cy="2381250"/>
        </a:xfrm>
        <a:prstGeom prst="rect">
          <a:avLst/>
        </a:prstGeom>
        <a:noFill/>
        <a:ln w="9525">
          <a:noFill/>
        </a:ln>
      </xdr:spPr>
    </xdr:pic>
    <xdr:clientData/>
  </xdr:twoCellAnchor>
  <xdr:twoCellAnchor editAs="oneCell">
    <xdr:from>
      <xdr:col>0</xdr:col>
      <xdr:colOff>0</xdr:colOff>
      <xdr:row>0</xdr:row>
      <xdr:rowOff>0</xdr:rowOff>
    </xdr:from>
    <xdr:to>
      <xdr:col>11</xdr:col>
      <xdr:colOff>485775</xdr:colOff>
      <xdr:row>10</xdr:row>
      <xdr:rowOff>95250</xdr:rowOff>
    </xdr:to>
    <xdr:pic>
      <xdr:nvPicPr>
        <xdr:cNvPr id="880" name="ID_D1FDD41F9D6B4D04AC822D482530AE14"/>
        <xdr:cNvPicPr>
          <a:picLocks noChangeAspect="1"/>
        </xdr:cNvPicPr>
      </xdr:nvPicPr>
      <xdr:blipFill>
        <a:blip r:embed="rId483"/>
        <a:stretch>
          <a:fillRect/>
        </a:stretch>
      </xdr:blipFill>
      <xdr:spPr>
        <a:xfrm>
          <a:off x="18483580" y="19723100"/>
          <a:ext cx="8029575" cy="1905000"/>
        </a:xfrm>
        <a:prstGeom prst="rect">
          <a:avLst/>
        </a:prstGeom>
        <a:noFill/>
        <a:ln w="9525">
          <a:noFill/>
        </a:ln>
      </xdr:spPr>
    </xdr:pic>
    <xdr:clientData/>
  </xdr:twoCellAnchor>
  <xdr:twoCellAnchor editAs="oneCell">
    <xdr:from>
      <xdr:col>0</xdr:col>
      <xdr:colOff>0</xdr:colOff>
      <xdr:row>0</xdr:row>
      <xdr:rowOff>0</xdr:rowOff>
    </xdr:from>
    <xdr:to>
      <xdr:col>11</xdr:col>
      <xdr:colOff>428625</xdr:colOff>
      <xdr:row>14</xdr:row>
      <xdr:rowOff>57150</xdr:rowOff>
    </xdr:to>
    <xdr:pic>
      <xdr:nvPicPr>
        <xdr:cNvPr id="881" name="ID_B0D3F9278F884512BE6DE06B97BBAC1E"/>
        <xdr:cNvPicPr>
          <a:picLocks noChangeAspect="1"/>
        </xdr:cNvPicPr>
      </xdr:nvPicPr>
      <xdr:blipFill>
        <a:blip r:embed="rId484"/>
        <a:stretch>
          <a:fillRect/>
        </a:stretch>
      </xdr:blipFill>
      <xdr:spPr>
        <a:xfrm>
          <a:off x="18483580" y="20561300"/>
          <a:ext cx="7972425" cy="2590800"/>
        </a:xfrm>
        <a:prstGeom prst="rect">
          <a:avLst/>
        </a:prstGeom>
        <a:noFill/>
        <a:ln w="9525">
          <a:noFill/>
        </a:ln>
      </xdr:spPr>
    </xdr:pic>
    <xdr:clientData/>
  </xdr:twoCellAnchor>
  <xdr:twoCellAnchor editAs="oneCell">
    <xdr:from>
      <xdr:col>0</xdr:col>
      <xdr:colOff>0</xdr:colOff>
      <xdr:row>0</xdr:row>
      <xdr:rowOff>0</xdr:rowOff>
    </xdr:from>
    <xdr:to>
      <xdr:col>10</xdr:col>
      <xdr:colOff>647700</xdr:colOff>
      <xdr:row>16</xdr:row>
      <xdr:rowOff>142875</xdr:rowOff>
    </xdr:to>
    <xdr:pic>
      <xdr:nvPicPr>
        <xdr:cNvPr id="882" name="ID_DB1B3A232E27471983D7CD10F7F17810"/>
        <xdr:cNvPicPr>
          <a:picLocks noChangeAspect="1"/>
        </xdr:cNvPicPr>
      </xdr:nvPicPr>
      <xdr:blipFill>
        <a:blip r:embed="rId485"/>
        <a:stretch>
          <a:fillRect/>
        </a:stretch>
      </xdr:blipFill>
      <xdr:spPr>
        <a:xfrm>
          <a:off x="18483580" y="22237700"/>
          <a:ext cx="7505700" cy="3038475"/>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171450</xdr:rowOff>
    </xdr:to>
    <xdr:pic>
      <xdr:nvPicPr>
        <xdr:cNvPr id="883" name="ID_F70BF9E015F94FC294587D7EDE09D55A"/>
        <xdr:cNvPicPr>
          <a:picLocks noChangeAspect="1"/>
        </xdr:cNvPicPr>
      </xdr:nvPicPr>
      <xdr:blipFill>
        <a:blip r:embed="rId486"/>
        <a:stretch>
          <a:fillRect/>
        </a:stretch>
      </xdr:blipFill>
      <xdr:spPr>
        <a:xfrm>
          <a:off x="18483580" y="33343850"/>
          <a:ext cx="7934325" cy="3067050"/>
        </a:xfrm>
        <a:prstGeom prst="rect">
          <a:avLst/>
        </a:prstGeom>
        <a:noFill/>
        <a:ln w="9525">
          <a:noFill/>
        </a:ln>
      </xdr:spPr>
    </xdr:pic>
    <xdr:clientData/>
  </xdr:twoCellAnchor>
  <xdr:twoCellAnchor editAs="oneCell">
    <xdr:from>
      <xdr:col>0</xdr:col>
      <xdr:colOff>0</xdr:colOff>
      <xdr:row>0</xdr:row>
      <xdr:rowOff>0</xdr:rowOff>
    </xdr:from>
    <xdr:to>
      <xdr:col>11</xdr:col>
      <xdr:colOff>495300</xdr:colOff>
      <xdr:row>9</xdr:row>
      <xdr:rowOff>57150</xdr:rowOff>
    </xdr:to>
    <xdr:pic>
      <xdr:nvPicPr>
        <xdr:cNvPr id="884" name="ID_03DC1D5B61B148CFBA60D3CDFD7F8273"/>
        <xdr:cNvPicPr>
          <a:picLocks noChangeAspect="1"/>
        </xdr:cNvPicPr>
      </xdr:nvPicPr>
      <xdr:blipFill>
        <a:blip r:embed="rId487"/>
        <a:stretch>
          <a:fillRect/>
        </a:stretch>
      </xdr:blipFill>
      <xdr:spPr>
        <a:xfrm>
          <a:off x="18483580" y="23704550"/>
          <a:ext cx="8039100" cy="1685925"/>
        </a:xfrm>
        <a:prstGeom prst="rect">
          <a:avLst/>
        </a:prstGeom>
        <a:noFill/>
        <a:ln w="9525">
          <a:noFill/>
        </a:ln>
      </xdr:spPr>
    </xdr:pic>
    <xdr:clientData/>
  </xdr:twoCellAnchor>
  <xdr:twoCellAnchor editAs="oneCell">
    <xdr:from>
      <xdr:col>0</xdr:col>
      <xdr:colOff>0</xdr:colOff>
      <xdr:row>0</xdr:row>
      <xdr:rowOff>0</xdr:rowOff>
    </xdr:from>
    <xdr:to>
      <xdr:col>11</xdr:col>
      <xdr:colOff>47625</xdr:colOff>
      <xdr:row>12</xdr:row>
      <xdr:rowOff>171450</xdr:rowOff>
    </xdr:to>
    <xdr:pic>
      <xdr:nvPicPr>
        <xdr:cNvPr id="885" name="ID_2423A835CEDF4F27A9DB54E852F22F0C"/>
        <xdr:cNvPicPr>
          <a:picLocks noChangeAspect="1"/>
        </xdr:cNvPicPr>
      </xdr:nvPicPr>
      <xdr:blipFill>
        <a:blip r:embed="rId488"/>
        <a:stretch>
          <a:fillRect/>
        </a:stretch>
      </xdr:blipFill>
      <xdr:spPr>
        <a:xfrm>
          <a:off x="18483580" y="24961850"/>
          <a:ext cx="7591425" cy="2343150"/>
        </a:xfrm>
        <a:prstGeom prst="rect">
          <a:avLst/>
        </a:prstGeom>
        <a:noFill/>
        <a:ln w="9525">
          <a:noFill/>
        </a:ln>
      </xdr:spPr>
    </xdr:pic>
    <xdr:clientData/>
  </xdr:twoCellAnchor>
  <xdr:twoCellAnchor editAs="oneCell">
    <xdr:from>
      <xdr:col>0</xdr:col>
      <xdr:colOff>0</xdr:colOff>
      <xdr:row>0</xdr:row>
      <xdr:rowOff>0</xdr:rowOff>
    </xdr:from>
    <xdr:to>
      <xdr:col>10</xdr:col>
      <xdr:colOff>638175</xdr:colOff>
      <xdr:row>11</xdr:row>
      <xdr:rowOff>152400</xdr:rowOff>
    </xdr:to>
    <xdr:pic>
      <xdr:nvPicPr>
        <xdr:cNvPr id="886" name="ID_5DA0D9CEA9A14A50A48C22FA473FE916"/>
        <xdr:cNvPicPr>
          <a:picLocks noChangeAspect="1"/>
        </xdr:cNvPicPr>
      </xdr:nvPicPr>
      <xdr:blipFill>
        <a:blip r:embed="rId489"/>
        <a:stretch>
          <a:fillRect/>
        </a:stretch>
      </xdr:blipFill>
      <xdr:spPr>
        <a:xfrm>
          <a:off x="18483580" y="26638250"/>
          <a:ext cx="7496175" cy="2143125"/>
        </a:xfrm>
        <a:prstGeom prst="rect">
          <a:avLst/>
        </a:prstGeom>
        <a:noFill/>
        <a:ln w="9525">
          <a:noFill/>
        </a:ln>
      </xdr:spPr>
    </xdr:pic>
    <xdr:clientData/>
  </xdr:twoCellAnchor>
  <xdr:twoCellAnchor editAs="oneCell">
    <xdr:from>
      <xdr:col>0</xdr:col>
      <xdr:colOff>0</xdr:colOff>
      <xdr:row>0</xdr:row>
      <xdr:rowOff>0</xdr:rowOff>
    </xdr:from>
    <xdr:to>
      <xdr:col>3</xdr:col>
      <xdr:colOff>247650</xdr:colOff>
      <xdr:row>9</xdr:row>
      <xdr:rowOff>152400</xdr:rowOff>
    </xdr:to>
    <xdr:pic>
      <xdr:nvPicPr>
        <xdr:cNvPr id="887" name="ID_CB9D5EE430F24247B18F67A6582D1A38"/>
        <xdr:cNvPicPr>
          <a:picLocks noChangeAspect="1"/>
        </xdr:cNvPicPr>
      </xdr:nvPicPr>
      <xdr:blipFill>
        <a:blip r:embed="rId490"/>
        <a:stretch>
          <a:fillRect/>
        </a:stretch>
      </xdr:blipFill>
      <xdr:spPr>
        <a:xfrm>
          <a:off x="18483580" y="27895550"/>
          <a:ext cx="2305050" cy="1781175"/>
        </a:xfrm>
        <a:prstGeom prst="rect">
          <a:avLst/>
        </a:prstGeom>
        <a:noFill/>
        <a:ln w="9525">
          <a:noFill/>
        </a:ln>
      </xdr:spPr>
    </xdr:pic>
    <xdr:clientData/>
  </xdr:twoCellAnchor>
  <xdr:twoCellAnchor editAs="oneCell">
    <xdr:from>
      <xdr:col>0</xdr:col>
      <xdr:colOff>0</xdr:colOff>
      <xdr:row>0</xdr:row>
      <xdr:rowOff>0</xdr:rowOff>
    </xdr:from>
    <xdr:to>
      <xdr:col>11</xdr:col>
      <xdr:colOff>438150</xdr:colOff>
      <xdr:row>9</xdr:row>
      <xdr:rowOff>114300</xdr:rowOff>
    </xdr:to>
    <xdr:pic>
      <xdr:nvPicPr>
        <xdr:cNvPr id="888" name="ID_1FBCC5BEBA6F4492AC57BFE22D401918"/>
        <xdr:cNvPicPr>
          <a:picLocks noChangeAspect="1"/>
        </xdr:cNvPicPr>
      </xdr:nvPicPr>
      <xdr:blipFill>
        <a:blip r:embed="rId491"/>
        <a:stretch>
          <a:fillRect/>
        </a:stretch>
      </xdr:blipFill>
      <xdr:spPr>
        <a:xfrm>
          <a:off x="18483580" y="29152850"/>
          <a:ext cx="7981950" cy="1743075"/>
        </a:xfrm>
        <a:prstGeom prst="rect">
          <a:avLst/>
        </a:prstGeom>
        <a:noFill/>
        <a:ln w="9525">
          <a:noFill/>
        </a:ln>
      </xdr:spPr>
    </xdr:pic>
    <xdr:clientData/>
  </xdr:twoCellAnchor>
  <xdr:twoCellAnchor editAs="oneCell">
    <xdr:from>
      <xdr:col>0</xdr:col>
      <xdr:colOff>0</xdr:colOff>
      <xdr:row>0</xdr:row>
      <xdr:rowOff>0</xdr:rowOff>
    </xdr:from>
    <xdr:to>
      <xdr:col>10</xdr:col>
      <xdr:colOff>647700</xdr:colOff>
      <xdr:row>17</xdr:row>
      <xdr:rowOff>57150</xdr:rowOff>
    </xdr:to>
    <xdr:pic>
      <xdr:nvPicPr>
        <xdr:cNvPr id="889" name="ID_2AFAD70E5B9A47F3B743822AE6D5608E"/>
        <xdr:cNvPicPr>
          <a:picLocks noChangeAspect="1"/>
        </xdr:cNvPicPr>
      </xdr:nvPicPr>
      <xdr:blipFill>
        <a:blip r:embed="rId492"/>
        <a:stretch>
          <a:fillRect/>
        </a:stretch>
      </xdr:blipFill>
      <xdr:spPr>
        <a:xfrm>
          <a:off x="18483580" y="29571950"/>
          <a:ext cx="7505700" cy="3133725"/>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9</xdr:row>
      <xdr:rowOff>47625</xdr:rowOff>
    </xdr:to>
    <xdr:pic>
      <xdr:nvPicPr>
        <xdr:cNvPr id="890" name="ID_EEA0573902CD4F8C8F377EAA0367F1ED"/>
        <xdr:cNvPicPr>
          <a:picLocks noChangeAspect="1"/>
        </xdr:cNvPicPr>
      </xdr:nvPicPr>
      <xdr:blipFill>
        <a:blip r:embed="rId493"/>
        <a:stretch>
          <a:fillRect/>
        </a:stretch>
      </xdr:blipFill>
      <xdr:spPr>
        <a:xfrm>
          <a:off x="18483580" y="30410150"/>
          <a:ext cx="7458075" cy="1676400"/>
        </a:xfrm>
        <a:prstGeom prst="rect">
          <a:avLst/>
        </a:prstGeom>
        <a:noFill/>
        <a:ln w="9525">
          <a:noFill/>
        </a:ln>
      </xdr:spPr>
    </xdr:pic>
    <xdr:clientData/>
  </xdr:twoCellAnchor>
  <xdr:twoCellAnchor editAs="oneCell">
    <xdr:from>
      <xdr:col>0</xdr:col>
      <xdr:colOff>0</xdr:colOff>
      <xdr:row>0</xdr:row>
      <xdr:rowOff>0</xdr:rowOff>
    </xdr:from>
    <xdr:to>
      <xdr:col>11</xdr:col>
      <xdr:colOff>0</xdr:colOff>
      <xdr:row>8</xdr:row>
      <xdr:rowOff>152400</xdr:rowOff>
    </xdr:to>
    <xdr:pic>
      <xdr:nvPicPr>
        <xdr:cNvPr id="891" name="ID_63BE347CCF1F48CE847425915DFFC334"/>
        <xdr:cNvPicPr>
          <a:picLocks noChangeAspect="1"/>
        </xdr:cNvPicPr>
      </xdr:nvPicPr>
      <xdr:blipFill>
        <a:blip r:embed="rId494"/>
        <a:stretch>
          <a:fillRect/>
        </a:stretch>
      </xdr:blipFill>
      <xdr:spPr>
        <a:xfrm>
          <a:off x="18483580" y="31248350"/>
          <a:ext cx="7543800" cy="1600200"/>
        </a:xfrm>
        <a:prstGeom prst="rect">
          <a:avLst/>
        </a:prstGeom>
        <a:noFill/>
        <a:ln w="9525">
          <a:noFill/>
        </a:ln>
      </xdr:spPr>
    </xdr:pic>
    <xdr:clientData/>
  </xdr:twoCellAnchor>
  <xdr:twoCellAnchor editAs="oneCell">
    <xdr:from>
      <xdr:col>0</xdr:col>
      <xdr:colOff>0</xdr:colOff>
      <xdr:row>0</xdr:row>
      <xdr:rowOff>0</xdr:rowOff>
    </xdr:from>
    <xdr:to>
      <xdr:col>10</xdr:col>
      <xdr:colOff>638175</xdr:colOff>
      <xdr:row>9</xdr:row>
      <xdr:rowOff>76200</xdr:rowOff>
    </xdr:to>
    <xdr:pic>
      <xdr:nvPicPr>
        <xdr:cNvPr id="892" name="ID_5D22FBDC0CFB40ABBAC1AE81B056C4ED"/>
        <xdr:cNvPicPr>
          <a:picLocks noChangeAspect="1"/>
        </xdr:cNvPicPr>
      </xdr:nvPicPr>
      <xdr:blipFill>
        <a:blip r:embed="rId495"/>
        <a:stretch>
          <a:fillRect/>
        </a:stretch>
      </xdr:blipFill>
      <xdr:spPr>
        <a:xfrm>
          <a:off x="18483580" y="31667450"/>
          <a:ext cx="7496175" cy="1704975"/>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171450</xdr:rowOff>
    </xdr:to>
    <xdr:pic>
      <xdr:nvPicPr>
        <xdr:cNvPr id="893" name="ID_FA05CFDBDBCB45B188A5E1654D09A6D4"/>
        <xdr:cNvPicPr>
          <a:picLocks noChangeAspect="1"/>
        </xdr:cNvPicPr>
      </xdr:nvPicPr>
      <xdr:blipFill>
        <a:blip r:embed="rId496"/>
        <a:stretch>
          <a:fillRect/>
        </a:stretch>
      </xdr:blipFill>
      <xdr:spPr>
        <a:xfrm>
          <a:off x="18483580" y="32086550"/>
          <a:ext cx="7934325" cy="3067050"/>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17</xdr:row>
      <xdr:rowOff>76200</xdr:rowOff>
    </xdr:to>
    <xdr:pic>
      <xdr:nvPicPr>
        <xdr:cNvPr id="894" name="ID_F9D7476805B94C44A0A9A4D2BAA0102C"/>
        <xdr:cNvPicPr>
          <a:picLocks noChangeAspect="1"/>
        </xdr:cNvPicPr>
      </xdr:nvPicPr>
      <xdr:blipFill>
        <a:blip r:embed="rId497"/>
        <a:stretch>
          <a:fillRect/>
        </a:stretch>
      </xdr:blipFill>
      <xdr:spPr>
        <a:xfrm>
          <a:off x="18483580" y="32924750"/>
          <a:ext cx="7448550" cy="3152775"/>
        </a:xfrm>
        <a:prstGeom prst="rect">
          <a:avLst/>
        </a:prstGeom>
        <a:noFill/>
        <a:ln w="9525">
          <a:noFill/>
        </a:ln>
      </xdr:spPr>
    </xdr:pic>
    <xdr:clientData/>
  </xdr:twoCellAnchor>
  <xdr:twoCellAnchor editAs="oneCell">
    <xdr:from>
      <xdr:col>0</xdr:col>
      <xdr:colOff>0</xdr:colOff>
      <xdr:row>0</xdr:row>
      <xdr:rowOff>0</xdr:rowOff>
    </xdr:from>
    <xdr:to>
      <xdr:col>10</xdr:col>
      <xdr:colOff>647700</xdr:colOff>
      <xdr:row>8</xdr:row>
      <xdr:rowOff>123825</xdr:rowOff>
    </xdr:to>
    <xdr:pic>
      <xdr:nvPicPr>
        <xdr:cNvPr id="895" name="ID_38F52476657B4CA094A601AD19C5B7A3"/>
        <xdr:cNvPicPr>
          <a:picLocks noChangeAspect="1"/>
        </xdr:cNvPicPr>
      </xdr:nvPicPr>
      <xdr:blipFill>
        <a:blip r:embed="rId498"/>
        <a:stretch>
          <a:fillRect/>
        </a:stretch>
      </xdr:blipFill>
      <xdr:spPr>
        <a:xfrm>
          <a:off x="18483580" y="34601150"/>
          <a:ext cx="7505700" cy="1571625"/>
        </a:xfrm>
        <a:prstGeom prst="rect">
          <a:avLst/>
        </a:prstGeom>
        <a:noFill/>
        <a:ln w="9525">
          <a:noFill/>
        </a:ln>
      </xdr:spPr>
    </xdr:pic>
    <xdr:clientData/>
  </xdr:twoCellAnchor>
  <xdr:twoCellAnchor editAs="oneCell">
    <xdr:from>
      <xdr:col>0</xdr:col>
      <xdr:colOff>0</xdr:colOff>
      <xdr:row>0</xdr:row>
      <xdr:rowOff>0</xdr:rowOff>
    </xdr:from>
    <xdr:to>
      <xdr:col>10</xdr:col>
      <xdr:colOff>171450</xdr:colOff>
      <xdr:row>8</xdr:row>
      <xdr:rowOff>114300</xdr:rowOff>
    </xdr:to>
    <xdr:pic>
      <xdr:nvPicPr>
        <xdr:cNvPr id="896" name="ID_71107B0D8DD8403C9B1902C5DE3A4264"/>
        <xdr:cNvPicPr>
          <a:picLocks noChangeAspect="1"/>
        </xdr:cNvPicPr>
      </xdr:nvPicPr>
      <xdr:blipFill>
        <a:blip r:embed="rId499"/>
        <a:stretch>
          <a:fillRect/>
        </a:stretch>
      </xdr:blipFill>
      <xdr:spPr>
        <a:xfrm>
          <a:off x="18483580" y="35858450"/>
          <a:ext cx="7029450" cy="1562100"/>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8</xdr:row>
      <xdr:rowOff>133350</xdr:rowOff>
    </xdr:to>
    <xdr:pic>
      <xdr:nvPicPr>
        <xdr:cNvPr id="897" name="ID_51082576FE2640BEB00D957011E8AAB8"/>
        <xdr:cNvPicPr>
          <a:picLocks noChangeAspect="1"/>
        </xdr:cNvPicPr>
      </xdr:nvPicPr>
      <xdr:blipFill>
        <a:blip r:embed="rId500"/>
        <a:stretch>
          <a:fillRect/>
        </a:stretch>
      </xdr:blipFill>
      <xdr:spPr>
        <a:xfrm>
          <a:off x="18483580" y="36277550"/>
          <a:ext cx="7019925" cy="1581150"/>
        </a:xfrm>
        <a:prstGeom prst="rect">
          <a:avLst/>
        </a:prstGeom>
        <a:noFill/>
        <a:ln w="9525">
          <a:noFill/>
        </a:ln>
      </xdr:spPr>
    </xdr:pic>
    <xdr:clientData/>
  </xdr:twoCellAnchor>
  <xdr:twoCellAnchor editAs="oneCell">
    <xdr:from>
      <xdr:col>0</xdr:col>
      <xdr:colOff>0</xdr:colOff>
      <xdr:row>0</xdr:row>
      <xdr:rowOff>0</xdr:rowOff>
    </xdr:from>
    <xdr:to>
      <xdr:col>11</xdr:col>
      <xdr:colOff>447675</xdr:colOff>
      <xdr:row>17</xdr:row>
      <xdr:rowOff>38100</xdr:rowOff>
    </xdr:to>
    <xdr:pic>
      <xdr:nvPicPr>
        <xdr:cNvPr id="898" name="ID_EDD2F2A54614403AB574AABE65622FDA"/>
        <xdr:cNvPicPr>
          <a:picLocks noChangeAspect="1"/>
        </xdr:cNvPicPr>
      </xdr:nvPicPr>
      <xdr:blipFill>
        <a:blip r:embed="rId501"/>
        <a:stretch>
          <a:fillRect/>
        </a:stretch>
      </xdr:blipFill>
      <xdr:spPr>
        <a:xfrm>
          <a:off x="18483580" y="37115750"/>
          <a:ext cx="7991475" cy="3114675"/>
        </a:xfrm>
        <a:prstGeom prst="rect">
          <a:avLst/>
        </a:prstGeom>
        <a:noFill/>
        <a:ln w="9525">
          <a:noFill/>
        </a:ln>
      </xdr:spPr>
    </xdr:pic>
    <xdr:clientData/>
  </xdr:twoCellAnchor>
  <xdr:twoCellAnchor editAs="oneCell">
    <xdr:from>
      <xdr:col>0</xdr:col>
      <xdr:colOff>0</xdr:colOff>
      <xdr:row>0</xdr:row>
      <xdr:rowOff>0</xdr:rowOff>
    </xdr:from>
    <xdr:to>
      <xdr:col>11</xdr:col>
      <xdr:colOff>409575</xdr:colOff>
      <xdr:row>9</xdr:row>
      <xdr:rowOff>133350</xdr:rowOff>
    </xdr:to>
    <xdr:pic>
      <xdr:nvPicPr>
        <xdr:cNvPr id="899" name="ID_3F3DE13A1AA6433EB9086DCE017DC637"/>
        <xdr:cNvPicPr>
          <a:picLocks noChangeAspect="1"/>
        </xdr:cNvPicPr>
      </xdr:nvPicPr>
      <xdr:blipFill>
        <a:blip r:embed="rId502"/>
        <a:stretch>
          <a:fillRect/>
        </a:stretch>
      </xdr:blipFill>
      <xdr:spPr>
        <a:xfrm>
          <a:off x="18483580" y="37534850"/>
          <a:ext cx="7953375" cy="1762125"/>
        </a:xfrm>
        <a:prstGeom prst="rect">
          <a:avLst/>
        </a:prstGeom>
        <a:noFill/>
        <a:ln w="9525">
          <a:noFill/>
        </a:ln>
      </xdr:spPr>
    </xdr:pic>
    <xdr:clientData/>
  </xdr:twoCellAnchor>
  <xdr:twoCellAnchor editAs="oneCell">
    <xdr:from>
      <xdr:col>0</xdr:col>
      <xdr:colOff>0</xdr:colOff>
      <xdr:row>0</xdr:row>
      <xdr:rowOff>0</xdr:rowOff>
    </xdr:from>
    <xdr:to>
      <xdr:col>10</xdr:col>
      <xdr:colOff>76200</xdr:colOff>
      <xdr:row>16</xdr:row>
      <xdr:rowOff>152400</xdr:rowOff>
    </xdr:to>
    <xdr:pic>
      <xdr:nvPicPr>
        <xdr:cNvPr id="900" name="ID_0CF78002522F408CA4A3A4A1289B2D27"/>
        <xdr:cNvPicPr>
          <a:picLocks noChangeAspect="1"/>
        </xdr:cNvPicPr>
      </xdr:nvPicPr>
      <xdr:blipFill>
        <a:blip r:embed="rId503"/>
        <a:stretch>
          <a:fillRect/>
        </a:stretch>
      </xdr:blipFill>
      <xdr:spPr>
        <a:xfrm>
          <a:off x="14921865" y="40399970"/>
          <a:ext cx="6934200" cy="3048000"/>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17</xdr:row>
      <xdr:rowOff>28575</xdr:rowOff>
    </xdr:to>
    <xdr:pic>
      <xdr:nvPicPr>
        <xdr:cNvPr id="901" name="ID_C2B9B846C91D44F6A90DBB82081A26AA"/>
        <xdr:cNvPicPr>
          <a:picLocks noChangeAspect="1"/>
        </xdr:cNvPicPr>
      </xdr:nvPicPr>
      <xdr:blipFill>
        <a:blip r:embed="rId504"/>
        <a:stretch>
          <a:fillRect/>
        </a:stretch>
      </xdr:blipFill>
      <xdr:spPr>
        <a:xfrm>
          <a:off x="14921865" y="30760670"/>
          <a:ext cx="7934325" cy="3105150"/>
        </a:xfrm>
        <a:prstGeom prst="rect">
          <a:avLst/>
        </a:prstGeom>
        <a:noFill/>
        <a:ln w="9525">
          <a:noFill/>
        </a:ln>
      </xdr:spPr>
    </xdr:pic>
    <xdr:clientData/>
  </xdr:twoCellAnchor>
  <xdr:twoCellAnchor editAs="oneCell">
    <xdr:from>
      <xdr:col>0</xdr:col>
      <xdr:colOff>0</xdr:colOff>
      <xdr:row>0</xdr:row>
      <xdr:rowOff>0</xdr:rowOff>
    </xdr:from>
    <xdr:to>
      <xdr:col>12</xdr:col>
      <xdr:colOff>247650</xdr:colOff>
      <xdr:row>17</xdr:row>
      <xdr:rowOff>9525</xdr:rowOff>
    </xdr:to>
    <xdr:pic>
      <xdr:nvPicPr>
        <xdr:cNvPr id="902" name="ID_5304E780696B4657BED597AEA59EBC89"/>
        <xdr:cNvPicPr>
          <a:picLocks noChangeAspect="1"/>
        </xdr:cNvPicPr>
      </xdr:nvPicPr>
      <xdr:blipFill>
        <a:blip r:embed="rId505"/>
        <a:stretch>
          <a:fillRect/>
        </a:stretch>
      </xdr:blipFill>
      <xdr:spPr>
        <a:xfrm>
          <a:off x="14921865" y="952500"/>
          <a:ext cx="8477250" cy="3086100"/>
        </a:xfrm>
        <a:prstGeom prst="rect">
          <a:avLst/>
        </a:prstGeom>
        <a:noFill/>
        <a:ln w="9525">
          <a:noFill/>
        </a:ln>
      </xdr:spPr>
    </xdr:pic>
    <xdr:clientData/>
  </xdr:twoCellAnchor>
  <xdr:twoCellAnchor editAs="oneCell">
    <xdr:from>
      <xdr:col>0</xdr:col>
      <xdr:colOff>0</xdr:colOff>
      <xdr:row>0</xdr:row>
      <xdr:rowOff>0</xdr:rowOff>
    </xdr:from>
    <xdr:to>
      <xdr:col>11</xdr:col>
      <xdr:colOff>304800</xdr:colOff>
      <xdr:row>16</xdr:row>
      <xdr:rowOff>142875</xdr:rowOff>
    </xdr:to>
    <xdr:pic>
      <xdr:nvPicPr>
        <xdr:cNvPr id="903" name="ID_2AD373EDE8CD4AD39311E34F3F51CAAA"/>
        <xdr:cNvPicPr>
          <a:picLocks noChangeAspect="1"/>
        </xdr:cNvPicPr>
      </xdr:nvPicPr>
      <xdr:blipFill>
        <a:blip r:embed="rId506"/>
        <a:stretch>
          <a:fillRect/>
        </a:stretch>
      </xdr:blipFill>
      <xdr:spPr>
        <a:xfrm>
          <a:off x="14921865" y="11062970"/>
          <a:ext cx="7848600" cy="3038475"/>
        </a:xfrm>
        <a:prstGeom prst="rect">
          <a:avLst/>
        </a:prstGeom>
        <a:noFill/>
        <a:ln w="9525">
          <a:noFill/>
        </a:ln>
      </xdr:spPr>
    </xdr:pic>
    <xdr:clientData/>
  </xdr:twoCellAnchor>
  <xdr:twoCellAnchor editAs="oneCell">
    <xdr:from>
      <xdr:col>0</xdr:col>
      <xdr:colOff>0</xdr:colOff>
      <xdr:row>0</xdr:row>
      <xdr:rowOff>0</xdr:rowOff>
    </xdr:from>
    <xdr:to>
      <xdr:col>11</xdr:col>
      <xdr:colOff>19050</xdr:colOff>
      <xdr:row>16</xdr:row>
      <xdr:rowOff>171450</xdr:rowOff>
    </xdr:to>
    <xdr:pic>
      <xdr:nvPicPr>
        <xdr:cNvPr id="904" name="ID_CA823D10D3B8408FA67EE1B6BA717C57"/>
        <xdr:cNvPicPr>
          <a:picLocks noChangeAspect="1"/>
        </xdr:cNvPicPr>
      </xdr:nvPicPr>
      <xdr:blipFill>
        <a:blip r:embed="rId507"/>
        <a:stretch>
          <a:fillRect/>
        </a:stretch>
      </xdr:blipFill>
      <xdr:spPr>
        <a:xfrm>
          <a:off x="14921865" y="20702270"/>
          <a:ext cx="7562850" cy="3067050"/>
        </a:xfrm>
        <a:prstGeom prst="rect">
          <a:avLst/>
        </a:prstGeom>
        <a:noFill/>
        <a:ln w="9525">
          <a:noFill/>
        </a:ln>
      </xdr:spPr>
    </xdr:pic>
    <xdr:clientData/>
  </xdr:twoCellAnchor>
  <xdr:twoCellAnchor editAs="oneCell">
    <xdr:from>
      <xdr:col>0</xdr:col>
      <xdr:colOff>0</xdr:colOff>
      <xdr:row>0</xdr:row>
      <xdr:rowOff>0</xdr:rowOff>
    </xdr:from>
    <xdr:to>
      <xdr:col>11</xdr:col>
      <xdr:colOff>9525</xdr:colOff>
      <xdr:row>16</xdr:row>
      <xdr:rowOff>133350</xdr:rowOff>
    </xdr:to>
    <xdr:pic>
      <xdr:nvPicPr>
        <xdr:cNvPr id="905" name="ID_CB1AB6C28C8E4D729DDBEBA9449DBEA7"/>
        <xdr:cNvPicPr>
          <a:picLocks noChangeAspect="1"/>
        </xdr:cNvPicPr>
      </xdr:nvPicPr>
      <xdr:blipFill>
        <a:blip r:embed="rId508"/>
        <a:stretch>
          <a:fillRect/>
        </a:stretch>
      </xdr:blipFill>
      <xdr:spPr>
        <a:xfrm>
          <a:off x="14921865" y="31179770"/>
          <a:ext cx="7553325" cy="3028950"/>
        </a:xfrm>
        <a:prstGeom prst="rect">
          <a:avLst/>
        </a:prstGeom>
        <a:noFill/>
        <a:ln w="9525">
          <a:noFill/>
        </a:ln>
      </xdr:spPr>
    </xdr:pic>
    <xdr:clientData/>
  </xdr:twoCellAnchor>
  <xdr:twoCellAnchor editAs="oneCell">
    <xdr:from>
      <xdr:col>0</xdr:col>
      <xdr:colOff>0</xdr:colOff>
      <xdr:row>0</xdr:row>
      <xdr:rowOff>0</xdr:rowOff>
    </xdr:from>
    <xdr:to>
      <xdr:col>11</xdr:col>
      <xdr:colOff>38100</xdr:colOff>
      <xdr:row>6</xdr:row>
      <xdr:rowOff>19050</xdr:rowOff>
    </xdr:to>
    <xdr:pic>
      <xdr:nvPicPr>
        <xdr:cNvPr id="906" name="ID_7F6E79FDC78041C8AE9D4ADA27BBF599"/>
        <xdr:cNvPicPr>
          <a:picLocks noChangeAspect="1"/>
        </xdr:cNvPicPr>
      </xdr:nvPicPr>
      <xdr:blipFill>
        <a:blip r:embed="rId509"/>
        <a:stretch>
          <a:fillRect/>
        </a:stretch>
      </xdr:blipFill>
      <xdr:spPr>
        <a:xfrm>
          <a:off x="14921865" y="21121370"/>
          <a:ext cx="7581900" cy="1104900"/>
        </a:xfrm>
        <a:prstGeom prst="rect">
          <a:avLst/>
        </a:prstGeom>
        <a:noFill/>
        <a:ln w="9525">
          <a:noFill/>
        </a:ln>
      </xdr:spPr>
    </xdr:pic>
    <xdr:clientData/>
  </xdr:twoCellAnchor>
  <xdr:twoCellAnchor editAs="oneCell">
    <xdr:from>
      <xdr:col>0</xdr:col>
      <xdr:colOff>0</xdr:colOff>
      <xdr:row>0</xdr:row>
      <xdr:rowOff>0</xdr:rowOff>
    </xdr:from>
    <xdr:to>
      <xdr:col>12</xdr:col>
      <xdr:colOff>200025</xdr:colOff>
      <xdr:row>16</xdr:row>
      <xdr:rowOff>152400</xdr:rowOff>
    </xdr:to>
    <xdr:pic>
      <xdr:nvPicPr>
        <xdr:cNvPr id="907" name="ID_FBA6E32501224503914B682A12E0B59D"/>
        <xdr:cNvPicPr>
          <a:picLocks noChangeAspect="1"/>
        </xdr:cNvPicPr>
      </xdr:nvPicPr>
      <xdr:blipFill>
        <a:blip r:embed="rId510"/>
        <a:stretch>
          <a:fillRect/>
        </a:stretch>
      </xdr:blipFill>
      <xdr:spPr>
        <a:xfrm>
          <a:off x="14921865" y="1371600"/>
          <a:ext cx="8429625" cy="3048000"/>
        </a:xfrm>
        <a:prstGeom prst="rect">
          <a:avLst/>
        </a:prstGeom>
        <a:noFill/>
        <a:ln w="9525">
          <a:noFill/>
        </a:ln>
      </xdr:spPr>
    </xdr:pic>
    <xdr:clientData/>
  </xdr:twoCellAnchor>
  <xdr:twoCellAnchor editAs="oneCell">
    <xdr:from>
      <xdr:col>0</xdr:col>
      <xdr:colOff>0</xdr:colOff>
      <xdr:row>0</xdr:row>
      <xdr:rowOff>0</xdr:rowOff>
    </xdr:from>
    <xdr:to>
      <xdr:col>11</xdr:col>
      <xdr:colOff>361950</xdr:colOff>
      <xdr:row>17</xdr:row>
      <xdr:rowOff>0</xdr:rowOff>
    </xdr:to>
    <xdr:pic>
      <xdr:nvPicPr>
        <xdr:cNvPr id="908" name="ID_3CD052351AC446EF9EBE9C3479EB9704"/>
        <xdr:cNvPicPr>
          <a:picLocks noChangeAspect="1"/>
        </xdr:cNvPicPr>
      </xdr:nvPicPr>
      <xdr:blipFill>
        <a:blip r:embed="rId511"/>
        <a:stretch>
          <a:fillRect/>
        </a:stretch>
      </xdr:blipFill>
      <xdr:spPr>
        <a:xfrm>
          <a:off x="14921865" y="11482070"/>
          <a:ext cx="7905750" cy="3076575"/>
        </a:xfrm>
        <a:prstGeom prst="rect">
          <a:avLst/>
        </a:prstGeom>
        <a:noFill/>
        <a:ln w="9525">
          <a:noFill/>
        </a:ln>
      </xdr:spPr>
    </xdr:pic>
    <xdr:clientData/>
  </xdr:twoCellAnchor>
  <xdr:twoCellAnchor editAs="oneCell">
    <xdr:from>
      <xdr:col>0</xdr:col>
      <xdr:colOff>0</xdr:colOff>
      <xdr:row>0</xdr:row>
      <xdr:rowOff>0</xdr:rowOff>
    </xdr:from>
    <xdr:to>
      <xdr:col>12</xdr:col>
      <xdr:colOff>276225</xdr:colOff>
      <xdr:row>17</xdr:row>
      <xdr:rowOff>95250</xdr:rowOff>
    </xdr:to>
    <xdr:pic>
      <xdr:nvPicPr>
        <xdr:cNvPr id="909" name="ID_FD525047B451468A958F63FD006A41B9"/>
        <xdr:cNvPicPr>
          <a:picLocks noChangeAspect="1"/>
        </xdr:cNvPicPr>
      </xdr:nvPicPr>
      <xdr:blipFill>
        <a:blip r:embed="rId512"/>
        <a:stretch>
          <a:fillRect/>
        </a:stretch>
      </xdr:blipFill>
      <xdr:spPr>
        <a:xfrm>
          <a:off x="14921865" y="1790700"/>
          <a:ext cx="8505825" cy="3171825"/>
        </a:xfrm>
        <a:prstGeom prst="rect">
          <a:avLst/>
        </a:prstGeom>
        <a:noFill/>
        <a:ln w="9525">
          <a:noFill/>
        </a:ln>
      </xdr:spPr>
    </xdr:pic>
    <xdr:clientData/>
  </xdr:twoCellAnchor>
  <xdr:twoCellAnchor editAs="oneCell">
    <xdr:from>
      <xdr:col>0</xdr:col>
      <xdr:colOff>0</xdr:colOff>
      <xdr:row>0</xdr:row>
      <xdr:rowOff>0</xdr:rowOff>
    </xdr:from>
    <xdr:to>
      <xdr:col>10</xdr:col>
      <xdr:colOff>676275</xdr:colOff>
      <xdr:row>16</xdr:row>
      <xdr:rowOff>142875</xdr:rowOff>
    </xdr:to>
    <xdr:pic>
      <xdr:nvPicPr>
        <xdr:cNvPr id="910" name="ID_012486B88A694FE5863ACA3DD70799DF"/>
        <xdr:cNvPicPr>
          <a:picLocks noChangeAspect="1"/>
        </xdr:cNvPicPr>
      </xdr:nvPicPr>
      <xdr:blipFill>
        <a:blip r:embed="rId513"/>
        <a:stretch>
          <a:fillRect/>
        </a:stretch>
      </xdr:blipFill>
      <xdr:spPr>
        <a:xfrm>
          <a:off x="14921865" y="22378670"/>
          <a:ext cx="7534275" cy="3038475"/>
        </a:xfrm>
        <a:prstGeom prst="rect">
          <a:avLst/>
        </a:prstGeom>
        <a:noFill/>
        <a:ln w="9525">
          <a:noFill/>
        </a:ln>
      </xdr:spPr>
    </xdr:pic>
    <xdr:clientData/>
  </xdr:twoCellAnchor>
  <xdr:twoCellAnchor editAs="oneCell">
    <xdr:from>
      <xdr:col>0</xdr:col>
      <xdr:colOff>0</xdr:colOff>
      <xdr:row>0</xdr:row>
      <xdr:rowOff>0</xdr:rowOff>
    </xdr:from>
    <xdr:to>
      <xdr:col>11</xdr:col>
      <xdr:colOff>447675</xdr:colOff>
      <xdr:row>16</xdr:row>
      <xdr:rowOff>171450</xdr:rowOff>
    </xdr:to>
    <xdr:pic>
      <xdr:nvPicPr>
        <xdr:cNvPr id="911" name="ID_CBCCB03138BA4D55A977E8CE8EB4C584"/>
        <xdr:cNvPicPr>
          <a:picLocks noChangeAspect="1"/>
        </xdr:cNvPicPr>
      </xdr:nvPicPr>
      <xdr:blipFill>
        <a:blip r:embed="rId514"/>
        <a:stretch>
          <a:fillRect/>
        </a:stretch>
      </xdr:blipFill>
      <xdr:spPr>
        <a:xfrm>
          <a:off x="14921865" y="2628900"/>
          <a:ext cx="7991475" cy="3067050"/>
        </a:xfrm>
        <a:prstGeom prst="rect">
          <a:avLst/>
        </a:prstGeom>
        <a:noFill/>
        <a:ln w="9525">
          <a:noFill/>
        </a:ln>
      </xdr:spPr>
    </xdr:pic>
    <xdr:clientData/>
  </xdr:twoCellAnchor>
  <xdr:twoCellAnchor editAs="oneCell">
    <xdr:from>
      <xdr:col>0</xdr:col>
      <xdr:colOff>0</xdr:colOff>
      <xdr:row>0</xdr:row>
      <xdr:rowOff>0</xdr:rowOff>
    </xdr:from>
    <xdr:to>
      <xdr:col>11</xdr:col>
      <xdr:colOff>447675</xdr:colOff>
      <xdr:row>17</xdr:row>
      <xdr:rowOff>9525</xdr:rowOff>
    </xdr:to>
    <xdr:pic>
      <xdr:nvPicPr>
        <xdr:cNvPr id="912" name="ID_CECD94F72B0D4F64AADAB834C484FD51"/>
        <xdr:cNvPicPr>
          <a:picLocks noChangeAspect="1"/>
        </xdr:cNvPicPr>
      </xdr:nvPicPr>
      <xdr:blipFill>
        <a:blip r:embed="rId515"/>
        <a:stretch>
          <a:fillRect/>
        </a:stretch>
      </xdr:blipFill>
      <xdr:spPr>
        <a:xfrm>
          <a:off x="14921865" y="2209800"/>
          <a:ext cx="7991475" cy="3086100"/>
        </a:xfrm>
        <a:prstGeom prst="rect">
          <a:avLst/>
        </a:prstGeom>
        <a:noFill/>
        <a:ln w="9525">
          <a:noFill/>
        </a:ln>
      </xdr:spPr>
    </xdr:pic>
    <xdr:clientData/>
  </xdr:twoCellAnchor>
  <xdr:twoCellAnchor editAs="oneCell">
    <xdr:from>
      <xdr:col>0</xdr:col>
      <xdr:colOff>0</xdr:colOff>
      <xdr:row>0</xdr:row>
      <xdr:rowOff>0</xdr:rowOff>
    </xdr:from>
    <xdr:to>
      <xdr:col>11</xdr:col>
      <xdr:colOff>9525</xdr:colOff>
      <xdr:row>8</xdr:row>
      <xdr:rowOff>38100</xdr:rowOff>
    </xdr:to>
    <xdr:pic>
      <xdr:nvPicPr>
        <xdr:cNvPr id="913" name="ID_D1E8FE0EC9324C80AFF6B20435DDE62E"/>
        <xdr:cNvPicPr>
          <a:picLocks noChangeAspect="1"/>
        </xdr:cNvPicPr>
      </xdr:nvPicPr>
      <xdr:blipFill>
        <a:blip r:embed="rId516"/>
        <a:stretch>
          <a:fillRect/>
        </a:stretch>
      </xdr:blipFill>
      <xdr:spPr>
        <a:xfrm>
          <a:off x="14921865" y="22797770"/>
          <a:ext cx="7553325" cy="1485900"/>
        </a:xfrm>
        <a:prstGeom prst="rect">
          <a:avLst/>
        </a:prstGeom>
        <a:noFill/>
        <a:ln w="9525">
          <a:noFill/>
        </a:ln>
      </xdr:spPr>
    </xdr:pic>
    <xdr:clientData/>
  </xdr:twoCellAnchor>
  <xdr:twoCellAnchor editAs="oneCell">
    <xdr:from>
      <xdr:col>0</xdr:col>
      <xdr:colOff>0</xdr:colOff>
      <xdr:row>0</xdr:row>
      <xdr:rowOff>0</xdr:rowOff>
    </xdr:from>
    <xdr:to>
      <xdr:col>11</xdr:col>
      <xdr:colOff>314325</xdr:colOff>
      <xdr:row>17</xdr:row>
      <xdr:rowOff>9525</xdr:rowOff>
    </xdr:to>
    <xdr:pic>
      <xdr:nvPicPr>
        <xdr:cNvPr id="914" name="ID_AFDCBC6D0D9341F9B032FE5B3A0C6A75"/>
        <xdr:cNvPicPr>
          <a:picLocks noChangeAspect="1"/>
        </xdr:cNvPicPr>
      </xdr:nvPicPr>
      <xdr:blipFill>
        <a:blip r:embed="rId517"/>
        <a:stretch>
          <a:fillRect/>
        </a:stretch>
      </xdr:blipFill>
      <xdr:spPr>
        <a:xfrm>
          <a:off x="14921865" y="3048000"/>
          <a:ext cx="7858125" cy="3086100"/>
        </a:xfrm>
        <a:prstGeom prst="rect">
          <a:avLst/>
        </a:prstGeom>
        <a:noFill/>
        <a:ln w="9525">
          <a:noFill/>
        </a:ln>
      </xdr:spPr>
    </xdr:pic>
    <xdr:clientData/>
  </xdr:twoCellAnchor>
  <xdr:twoCellAnchor editAs="oneCell">
    <xdr:from>
      <xdr:col>0</xdr:col>
      <xdr:colOff>0</xdr:colOff>
      <xdr:row>0</xdr:row>
      <xdr:rowOff>0</xdr:rowOff>
    </xdr:from>
    <xdr:to>
      <xdr:col>4</xdr:col>
      <xdr:colOff>342900</xdr:colOff>
      <xdr:row>13</xdr:row>
      <xdr:rowOff>76200</xdr:rowOff>
    </xdr:to>
    <xdr:pic>
      <xdr:nvPicPr>
        <xdr:cNvPr id="915" name="ID_50C025EA7BA14E279FD3D56EADFCFFE2"/>
        <xdr:cNvPicPr>
          <a:picLocks noChangeAspect="1"/>
        </xdr:cNvPicPr>
      </xdr:nvPicPr>
      <xdr:blipFill>
        <a:blip r:embed="rId518"/>
        <a:stretch>
          <a:fillRect/>
        </a:stretch>
      </xdr:blipFill>
      <xdr:spPr>
        <a:xfrm>
          <a:off x="14921865" y="13158470"/>
          <a:ext cx="3086100" cy="2428875"/>
        </a:xfrm>
        <a:prstGeom prst="rect">
          <a:avLst/>
        </a:prstGeom>
        <a:noFill/>
        <a:ln w="9525">
          <a:noFill/>
        </a:ln>
      </xdr:spPr>
    </xdr:pic>
    <xdr:clientData/>
  </xdr:twoCellAnchor>
  <xdr:twoCellAnchor editAs="oneCell">
    <xdr:from>
      <xdr:col>0</xdr:col>
      <xdr:colOff>0</xdr:colOff>
      <xdr:row>0</xdr:row>
      <xdr:rowOff>0</xdr:rowOff>
    </xdr:from>
    <xdr:to>
      <xdr:col>11</xdr:col>
      <xdr:colOff>66675</xdr:colOff>
      <xdr:row>16</xdr:row>
      <xdr:rowOff>152400</xdr:rowOff>
    </xdr:to>
    <xdr:pic>
      <xdr:nvPicPr>
        <xdr:cNvPr id="916" name="ID_8F9681147A874DC5853159E83F940EAD"/>
        <xdr:cNvPicPr>
          <a:picLocks noChangeAspect="1"/>
        </xdr:cNvPicPr>
      </xdr:nvPicPr>
      <xdr:blipFill>
        <a:blip r:embed="rId519"/>
        <a:stretch>
          <a:fillRect/>
        </a:stretch>
      </xdr:blipFill>
      <xdr:spPr>
        <a:xfrm>
          <a:off x="14921865" y="33694370"/>
          <a:ext cx="7610475" cy="3048000"/>
        </a:xfrm>
        <a:prstGeom prst="rect">
          <a:avLst/>
        </a:prstGeom>
        <a:noFill/>
        <a:ln w="9525">
          <a:noFill/>
        </a:ln>
      </xdr:spPr>
    </xdr:pic>
    <xdr:clientData/>
  </xdr:twoCellAnchor>
  <xdr:twoCellAnchor editAs="oneCell">
    <xdr:from>
      <xdr:col>0</xdr:col>
      <xdr:colOff>0</xdr:colOff>
      <xdr:row>0</xdr:row>
      <xdr:rowOff>0</xdr:rowOff>
    </xdr:from>
    <xdr:to>
      <xdr:col>11</xdr:col>
      <xdr:colOff>371475</xdr:colOff>
      <xdr:row>16</xdr:row>
      <xdr:rowOff>142875</xdr:rowOff>
    </xdr:to>
    <xdr:pic>
      <xdr:nvPicPr>
        <xdr:cNvPr id="917" name="ID_C56AA38FBD38410FA6EEC8E14BE66C41"/>
        <xdr:cNvPicPr>
          <a:picLocks noChangeAspect="1"/>
        </xdr:cNvPicPr>
      </xdr:nvPicPr>
      <xdr:blipFill>
        <a:blip r:embed="rId520"/>
        <a:stretch>
          <a:fillRect/>
        </a:stretch>
      </xdr:blipFill>
      <xdr:spPr>
        <a:xfrm>
          <a:off x="14921865" y="3886200"/>
          <a:ext cx="7915275" cy="3038475"/>
        </a:xfrm>
        <a:prstGeom prst="rect">
          <a:avLst/>
        </a:prstGeom>
        <a:noFill/>
        <a:ln w="9525">
          <a:noFill/>
        </a:ln>
      </xdr:spPr>
    </xdr:pic>
    <xdr:clientData/>
  </xdr:twoCellAnchor>
  <xdr:twoCellAnchor editAs="oneCell">
    <xdr:from>
      <xdr:col>0</xdr:col>
      <xdr:colOff>0</xdr:colOff>
      <xdr:row>0</xdr:row>
      <xdr:rowOff>0</xdr:rowOff>
    </xdr:from>
    <xdr:to>
      <xdr:col>3</xdr:col>
      <xdr:colOff>361950</xdr:colOff>
      <xdr:row>11</xdr:row>
      <xdr:rowOff>142875</xdr:rowOff>
    </xdr:to>
    <xdr:pic>
      <xdr:nvPicPr>
        <xdr:cNvPr id="918" name="ID_E0513055992947338F62538C05400C0E"/>
        <xdr:cNvPicPr>
          <a:picLocks noChangeAspect="1"/>
        </xdr:cNvPicPr>
      </xdr:nvPicPr>
      <xdr:blipFill>
        <a:blip r:embed="rId521"/>
        <a:stretch>
          <a:fillRect/>
        </a:stretch>
      </xdr:blipFill>
      <xdr:spPr>
        <a:xfrm>
          <a:off x="14921865" y="13996670"/>
          <a:ext cx="2419350" cy="2133600"/>
        </a:xfrm>
        <a:prstGeom prst="rect">
          <a:avLst/>
        </a:prstGeom>
        <a:noFill/>
        <a:ln w="9525">
          <a:noFill/>
        </a:ln>
      </xdr:spPr>
    </xdr:pic>
    <xdr:clientData/>
  </xdr:twoCellAnchor>
  <xdr:twoCellAnchor editAs="oneCell">
    <xdr:from>
      <xdr:col>0</xdr:col>
      <xdr:colOff>0</xdr:colOff>
      <xdr:row>0</xdr:row>
      <xdr:rowOff>0</xdr:rowOff>
    </xdr:from>
    <xdr:to>
      <xdr:col>11</xdr:col>
      <xdr:colOff>123825</xdr:colOff>
      <xdr:row>5</xdr:row>
      <xdr:rowOff>161925</xdr:rowOff>
    </xdr:to>
    <xdr:pic>
      <xdr:nvPicPr>
        <xdr:cNvPr id="919" name="ID_48C9C8126E5D434B98B8F70404DB9A8E"/>
        <xdr:cNvPicPr>
          <a:picLocks noChangeAspect="1"/>
        </xdr:cNvPicPr>
      </xdr:nvPicPr>
      <xdr:blipFill>
        <a:blip r:embed="rId522"/>
        <a:stretch>
          <a:fillRect/>
        </a:stretch>
      </xdr:blipFill>
      <xdr:spPr>
        <a:xfrm>
          <a:off x="14921865" y="23635970"/>
          <a:ext cx="7667625" cy="1066800"/>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104775</xdr:rowOff>
    </xdr:to>
    <xdr:pic>
      <xdr:nvPicPr>
        <xdr:cNvPr id="920" name="ID_4215CE45171442CA987C6783F8B4F3B7"/>
        <xdr:cNvPicPr>
          <a:picLocks noChangeAspect="1"/>
        </xdr:cNvPicPr>
      </xdr:nvPicPr>
      <xdr:blipFill>
        <a:blip r:embed="rId523"/>
        <a:stretch>
          <a:fillRect/>
        </a:stretch>
      </xdr:blipFill>
      <xdr:spPr>
        <a:xfrm>
          <a:off x="14921865" y="3467100"/>
          <a:ext cx="7934325" cy="3000375"/>
        </a:xfrm>
        <a:prstGeom prst="rect">
          <a:avLst/>
        </a:prstGeom>
        <a:noFill/>
        <a:ln w="9525">
          <a:noFill/>
        </a:ln>
      </xdr:spPr>
    </xdr:pic>
    <xdr:clientData/>
  </xdr:twoCellAnchor>
  <xdr:twoCellAnchor editAs="oneCell">
    <xdr:from>
      <xdr:col>0</xdr:col>
      <xdr:colOff>0</xdr:colOff>
      <xdr:row>0</xdr:row>
      <xdr:rowOff>0</xdr:rowOff>
    </xdr:from>
    <xdr:to>
      <xdr:col>11</xdr:col>
      <xdr:colOff>152400</xdr:colOff>
      <xdr:row>7</xdr:row>
      <xdr:rowOff>114300</xdr:rowOff>
    </xdr:to>
    <xdr:pic>
      <xdr:nvPicPr>
        <xdr:cNvPr id="921" name="ID_45B753880D98434B9617BFD65406FE2C"/>
        <xdr:cNvPicPr>
          <a:picLocks noChangeAspect="1"/>
        </xdr:cNvPicPr>
      </xdr:nvPicPr>
      <xdr:blipFill>
        <a:blip r:embed="rId524"/>
        <a:stretch>
          <a:fillRect/>
        </a:stretch>
      </xdr:blipFill>
      <xdr:spPr>
        <a:xfrm>
          <a:off x="14921865" y="24055070"/>
          <a:ext cx="7696200" cy="1381125"/>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16</xdr:row>
      <xdr:rowOff>152400</xdr:rowOff>
    </xdr:to>
    <xdr:pic>
      <xdr:nvPicPr>
        <xdr:cNvPr id="922" name="ID_CA771A0A0934446396B164C0E78364A8"/>
        <xdr:cNvPicPr>
          <a:picLocks noChangeAspect="1"/>
        </xdr:cNvPicPr>
      </xdr:nvPicPr>
      <xdr:blipFill>
        <a:blip r:embed="rId525"/>
        <a:stretch>
          <a:fillRect/>
        </a:stretch>
      </xdr:blipFill>
      <xdr:spPr>
        <a:xfrm>
          <a:off x="14921865" y="4305300"/>
          <a:ext cx="7924800" cy="3048000"/>
        </a:xfrm>
        <a:prstGeom prst="rect">
          <a:avLst/>
        </a:prstGeom>
        <a:noFill/>
        <a:ln w="9525">
          <a:noFill/>
        </a:ln>
      </xdr:spPr>
    </xdr:pic>
    <xdr:clientData/>
  </xdr:twoCellAnchor>
  <xdr:twoCellAnchor editAs="oneCell">
    <xdr:from>
      <xdr:col>0</xdr:col>
      <xdr:colOff>0</xdr:colOff>
      <xdr:row>0</xdr:row>
      <xdr:rowOff>0</xdr:rowOff>
    </xdr:from>
    <xdr:to>
      <xdr:col>11</xdr:col>
      <xdr:colOff>352425</xdr:colOff>
      <xdr:row>16</xdr:row>
      <xdr:rowOff>133350</xdr:rowOff>
    </xdr:to>
    <xdr:pic>
      <xdr:nvPicPr>
        <xdr:cNvPr id="923" name="ID_CF08C32C26754D07A7B27EFC6AB52ED4"/>
        <xdr:cNvPicPr>
          <a:picLocks noChangeAspect="1"/>
        </xdr:cNvPicPr>
      </xdr:nvPicPr>
      <xdr:blipFill>
        <a:blip r:embed="rId526"/>
        <a:stretch>
          <a:fillRect/>
        </a:stretch>
      </xdr:blipFill>
      <xdr:spPr>
        <a:xfrm>
          <a:off x="14921865" y="4724400"/>
          <a:ext cx="7896225" cy="3028950"/>
        </a:xfrm>
        <a:prstGeom prst="rect">
          <a:avLst/>
        </a:prstGeom>
        <a:noFill/>
        <a:ln w="9525">
          <a:noFill/>
        </a:ln>
      </xdr:spPr>
    </xdr:pic>
    <xdr:clientData/>
  </xdr:twoCellAnchor>
  <xdr:twoCellAnchor editAs="oneCell">
    <xdr:from>
      <xdr:col>0</xdr:col>
      <xdr:colOff>0</xdr:colOff>
      <xdr:row>0</xdr:row>
      <xdr:rowOff>0</xdr:rowOff>
    </xdr:from>
    <xdr:to>
      <xdr:col>3</xdr:col>
      <xdr:colOff>152400</xdr:colOff>
      <xdr:row>10</xdr:row>
      <xdr:rowOff>85725</xdr:rowOff>
    </xdr:to>
    <xdr:pic>
      <xdr:nvPicPr>
        <xdr:cNvPr id="924" name="ID_198BF76847D446EFB7DE998B55DEFF7B"/>
        <xdr:cNvPicPr>
          <a:picLocks noChangeAspect="1"/>
        </xdr:cNvPicPr>
      </xdr:nvPicPr>
      <xdr:blipFill>
        <a:blip r:embed="rId527"/>
        <a:stretch>
          <a:fillRect/>
        </a:stretch>
      </xdr:blipFill>
      <xdr:spPr>
        <a:xfrm>
          <a:off x="14921865" y="5614670"/>
          <a:ext cx="2209800" cy="1895475"/>
        </a:xfrm>
        <a:prstGeom prst="rect">
          <a:avLst/>
        </a:prstGeom>
        <a:noFill/>
        <a:ln w="9525">
          <a:noFill/>
        </a:ln>
      </xdr:spPr>
    </xdr:pic>
    <xdr:clientData/>
  </xdr:twoCellAnchor>
  <xdr:twoCellAnchor editAs="oneCell">
    <xdr:from>
      <xdr:col>0</xdr:col>
      <xdr:colOff>0</xdr:colOff>
      <xdr:row>0</xdr:row>
      <xdr:rowOff>0</xdr:rowOff>
    </xdr:from>
    <xdr:to>
      <xdr:col>11</xdr:col>
      <xdr:colOff>47625</xdr:colOff>
      <xdr:row>17</xdr:row>
      <xdr:rowOff>28575</xdr:rowOff>
    </xdr:to>
    <xdr:pic>
      <xdr:nvPicPr>
        <xdr:cNvPr id="925" name="ID_AA2B1288CB5C45BFBDD8B2EF70E715F4"/>
        <xdr:cNvPicPr>
          <a:picLocks noChangeAspect="1"/>
        </xdr:cNvPicPr>
      </xdr:nvPicPr>
      <xdr:blipFill>
        <a:blip r:embed="rId528"/>
        <a:stretch>
          <a:fillRect/>
        </a:stretch>
      </xdr:blipFill>
      <xdr:spPr>
        <a:xfrm>
          <a:off x="14921865" y="25312370"/>
          <a:ext cx="7591425" cy="3105150"/>
        </a:xfrm>
        <a:prstGeom prst="rect">
          <a:avLst/>
        </a:prstGeom>
        <a:noFill/>
        <a:ln w="9525">
          <a:noFill/>
        </a:ln>
      </xdr:spPr>
    </xdr:pic>
    <xdr:clientData/>
  </xdr:twoCellAnchor>
  <xdr:twoCellAnchor editAs="oneCell">
    <xdr:from>
      <xdr:col>0</xdr:col>
      <xdr:colOff>0</xdr:colOff>
      <xdr:row>0</xdr:row>
      <xdr:rowOff>0</xdr:rowOff>
    </xdr:from>
    <xdr:to>
      <xdr:col>11</xdr:col>
      <xdr:colOff>409575</xdr:colOff>
      <xdr:row>17</xdr:row>
      <xdr:rowOff>28575</xdr:rowOff>
    </xdr:to>
    <xdr:pic>
      <xdr:nvPicPr>
        <xdr:cNvPr id="926" name="ID_CEE3F5138F3E42D19859E2E86A62E16C"/>
        <xdr:cNvPicPr>
          <a:picLocks noChangeAspect="1"/>
        </xdr:cNvPicPr>
      </xdr:nvPicPr>
      <xdr:blipFill>
        <a:blip r:embed="rId529"/>
        <a:stretch>
          <a:fillRect/>
        </a:stretch>
      </xdr:blipFill>
      <xdr:spPr>
        <a:xfrm>
          <a:off x="15533370" y="6033770"/>
          <a:ext cx="7953375" cy="3105150"/>
        </a:xfrm>
        <a:prstGeom prst="rect">
          <a:avLst/>
        </a:prstGeom>
        <a:noFill/>
        <a:ln w="9525">
          <a:noFill/>
        </a:ln>
      </xdr:spPr>
    </xdr:pic>
    <xdr:clientData/>
  </xdr:twoCellAnchor>
  <xdr:twoCellAnchor editAs="oneCell">
    <xdr:from>
      <xdr:col>0</xdr:col>
      <xdr:colOff>0</xdr:colOff>
      <xdr:row>0</xdr:row>
      <xdr:rowOff>0</xdr:rowOff>
    </xdr:from>
    <xdr:to>
      <xdr:col>3</xdr:col>
      <xdr:colOff>209550</xdr:colOff>
      <xdr:row>13</xdr:row>
      <xdr:rowOff>19050</xdr:rowOff>
    </xdr:to>
    <xdr:pic>
      <xdr:nvPicPr>
        <xdr:cNvPr id="927" name="ID_61548B4D6750407CA574F2AA40CC4F53"/>
        <xdr:cNvPicPr>
          <a:picLocks noChangeAspect="1"/>
        </xdr:cNvPicPr>
      </xdr:nvPicPr>
      <xdr:blipFill>
        <a:blip r:embed="rId530"/>
        <a:stretch>
          <a:fillRect/>
        </a:stretch>
      </xdr:blipFill>
      <xdr:spPr>
        <a:xfrm>
          <a:off x="14921865" y="15673070"/>
          <a:ext cx="2266950" cy="2371725"/>
        </a:xfrm>
        <a:prstGeom prst="rect">
          <a:avLst/>
        </a:prstGeom>
        <a:noFill/>
        <a:ln w="9525">
          <a:noFill/>
        </a:ln>
      </xdr:spPr>
    </xdr:pic>
    <xdr:clientData/>
  </xdr:twoCellAnchor>
  <xdr:twoCellAnchor editAs="oneCell">
    <xdr:from>
      <xdr:col>0</xdr:col>
      <xdr:colOff>0</xdr:colOff>
      <xdr:row>0</xdr:row>
      <xdr:rowOff>0</xdr:rowOff>
    </xdr:from>
    <xdr:to>
      <xdr:col>11</xdr:col>
      <xdr:colOff>19050</xdr:colOff>
      <xdr:row>7</xdr:row>
      <xdr:rowOff>133350</xdr:rowOff>
    </xdr:to>
    <xdr:pic>
      <xdr:nvPicPr>
        <xdr:cNvPr id="928" name="ID_1BF71DB5B7994379B3F096E0D10EC04F"/>
        <xdr:cNvPicPr>
          <a:picLocks noChangeAspect="1"/>
        </xdr:cNvPicPr>
      </xdr:nvPicPr>
      <xdr:blipFill>
        <a:blip r:embed="rId531"/>
        <a:stretch>
          <a:fillRect/>
        </a:stretch>
      </xdr:blipFill>
      <xdr:spPr>
        <a:xfrm>
          <a:off x="14921865" y="25731470"/>
          <a:ext cx="7562850" cy="1400175"/>
        </a:xfrm>
        <a:prstGeom prst="rect">
          <a:avLst/>
        </a:prstGeom>
        <a:noFill/>
        <a:ln w="9525">
          <a:noFill/>
        </a:ln>
      </xdr:spPr>
    </xdr:pic>
    <xdr:clientData/>
  </xdr:twoCellAnchor>
  <xdr:twoCellAnchor editAs="oneCell">
    <xdr:from>
      <xdr:col>0</xdr:col>
      <xdr:colOff>0</xdr:colOff>
      <xdr:row>0</xdr:row>
      <xdr:rowOff>0</xdr:rowOff>
    </xdr:from>
    <xdr:to>
      <xdr:col>11</xdr:col>
      <xdr:colOff>342900</xdr:colOff>
      <xdr:row>12</xdr:row>
      <xdr:rowOff>161925</xdr:rowOff>
    </xdr:to>
    <xdr:pic>
      <xdr:nvPicPr>
        <xdr:cNvPr id="929" name="ID_56795206402E47D198D85AB48B4445C8"/>
        <xdr:cNvPicPr>
          <a:picLocks noChangeAspect="1"/>
        </xdr:cNvPicPr>
      </xdr:nvPicPr>
      <xdr:blipFill>
        <a:blip r:embed="rId532"/>
        <a:stretch>
          <a:fillRect/>
        </a:stretch>
      </xdr:blipFill>
      <xdr:spPr>
        <a:xfrm>
          <a:off x="14921865" y="6452870"/>
          <a:ext cx="7886700" cy="2333625"/>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17</xdr:row>
      <xdr:rowOff>28575</xdr:rowOff>
    </xdr:to>
    <xdr:pic>
      <xdr:nvPicPr>
        <xdr:cNvPr id="930" name="ID_22721F9A36984D8E994758B5080A9A9F"/>
        <xdr:cNvPicPr>
          <a:picLocks noChangeAspect="1"/>
        </xdr:cNvPicPr>
      </xdr:nvPicPr>
      <xdr:blipFill>
        <a:blip r:embed="rId533"/>
        <a:stretch>
          <a:fillRect/>
        </a:stretch>
      </xdr:blipFill>
      <xdr:spPr>
        <a:xfrm>
          <a:off x="14921865" y="36208970"/>
          <a:ext cx="7486650" cy="3105150"/>
        </a:xfrm>
        <a:prstGeom prst="rect">
          <a:avLst/>
        </a:prstGeom>
        <a:noFill/>
        <a:ln w="9525">
          <a:noFill/>
        </a:ln>
      </xdr:spPr>
    </xdr:pic>
    <xdr:clientData/>
  </xdr:twoCellAnchor>
  <xdr:twoCellAnchor editAs="oneCell">
    <xdr:from>
      <xdr:col>0</xdr:col>
      <xdr:colOff>0</xdr:colOff>
      <xdr:row>0</xdr:row>
      <xdr:rowOff>0</xdr:rowOff>
    </xdr:from>
    <xdr:to>
      <xdr:col>11</xdr:col>
      <xdr:colOff>28575</xdr:colOff>
      <xdr:row>5</xdr:row>
      <xdr:rowOff>95250</xdr:rowOff>
    </xdr:to>
    <xdr:pic>
      <xdr:nvPicPr>
        <xdr:cNvPr id="931" name="ID_2442E82D76564891A43D5386B307201E"/>
        <xdr:cNvPicPr>
          <a:picLocks noChangeAspect="1"/>
        </xdr:cNvPicPr>
      </xdr:nvPicPr>
      <xdr:blipFill>
        <a:blip r:embed="rId534"/>
        <a:stretch>
          <a:fillRect/>
        </a:stretch>
      </xdr:blipFill>
      <xdr:spPr>
        <a:xfrm>
          <a:off x="14921865" y="26569670"/>
          <a:ext cx="7572375" cy="1000125"/>
        </a:xfrm>
        <a:prstGeom prst="rect">
          <a:avLst/>
        </a:prstGeom>
        <a:noFill/>
        <a:ln w="9525">
          <a:noFill/>
        </a:ln>
      </xdr:spPr>
    </xdr:pic>
    <xdr:clientData/>
  </xdr:twoCellAnchor>
  <xdr:twoCellAnchor editAs="oneCell">
    <xdr:from>
      <xdr:col>0</xdr:col>
      <xdr:colOff>0</xdr:colOff>
      <xdr:row>0</xdr:row>
      <xdr:rowOff>0</xdr:rowOff>
    </xdr:from>
    <xdr:to>
      <xdr:col>11</xdr:col>
      <xdr:colOff>371475</xdr:colOff>
      <xdr:row>17</xdr:row>
      <xdr:rowOff>0</xdr:rowOff>
    </xdr:to>
    <xdr:pic>
      <xdr:nvPicPr>
        <xdr:cNvPr id="932" name="ID_F3943A2F37D549DB8B8859E87FFB0D8C"/>
        <xdr:cNvPicPr>
          <a:picLocks noChangeAspect="1"/>
        </xdr:cNvPicPr>
      </xdr:nvPicPr>
      <xdr:blipFill>
        <a:blip r:embed="rId535"/>
        <a:stretch>
          <a:fillRect/>
        </a:stretch>
      </xdr:blipFill>
      <xdr:spPr>
        <a:xfrm>
          <a:off x="14921865" y="6871970"/>
          <a:ext cx="7915275" cy="3076575"/>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17</xdr:row>
      <xdr:rowOff>38100</xdr:rowOff>
    </xdr:to>
    <xdr:pic>
      <xdr:nvPicPr>
        <xdr:cNvPr id="933" name="ID_A23B3BDCAE9741EE82A103F44DEDDEDC"/>
        <xdr:cNvPicPr>
          <a:picLocks noChangeAspect="1"/>
        </xdr:cNvPicPr>
      </xdr:nvPicPr>
      <xdr:blipFill>
        <a:blip r:embed="rId536"/>
        <a:stretch>
          <a:fillRect/>
        </a:stretch>
      </xdr:blipFill>
      <xdr:spPr>
        <a:xfrm>
          <a:off x="14921865" y="16511270"/>
          <a:ext cx="7429500" cy="3114675"/>
        </a:xfrm>
        <a:prstGeom prst="rect">
          <a:avLst/>
        </a:prstGeom>
        <a:noFill/>
        <a:ln w="9525">
          <a:noFill/>
        </a:ln>
      </xdr:spPr>
    </xdr:pic>
    <xdr:clientData/>
  </xdr:twoCellAnchor>
  <xdr:twoCellAnchor editAs="oneCell">
    <xdr:from>
      <xdr:col>0</xdr:col>
      <xdr:colOff>0</xdr:colOff>
      <xdr:row>0</xdr:row>
      <xdr:rowOff>0</xdr:rowOff>
    </xdr:from>
    <xdr:to>
      <xdr:col>3</xdr:col>
      <xdr:colOff>180975</xdr:colOff>
      <xdr:row>12</xdr:row>
      <xdr:rowOff>57150</xdr:rowOff>
    </xdr:to>
    <xdr:pic>
      <xdr:nvPicPr>
        <xdr:cNvPr id="934" name="ID_D42D462062D14051A06BFD3395BECF2F"/>
        <xdr:cNvPicPr>
          <a:picLocks noChangeAspect="1"/>
        </xdr:cNvPicPr>
      </xdr:nvPicPr>
      <xdr:blipFill>
        <a:blip r:embed="rId537"/>
        <a:stretch>
          <a:fillRect/>
        </a:stretch>
      </xdr:blipFill>
      <xdr:spPr>
        <a:xfrm>
          <a:off x="14921865" y="7291070"/>
          <a:ext cx="2238375" cy="2228850"/>
        </a:xfrm>
        <a:prstGeom prst="rect">
          <a:avLst/>
        </a:prstGeom>
        <a:noFill/>
        <a:ln w="9525">
          <a:noFill/>
        </a:ln>
      </xdr:spPr>
    </xdr:pic>
    <xdr:clientData/>
  </xdr:twoCellAnchor>
  <xdr:twoCellAnchor editAs="oneCell">
    <xdr:from>
      <xdr:col>0</xdr:col>
      <xdr:colOff>0</xdr:colOff>
      <xdr:row>0</xdr:row>
      <xdr:rowOff>0</xdr:rowOff>
    </xdr:from>
    <xdr:to>
      <xdr:col>11</xdr:col>
      <xdr:colOff>19050</xdr:colOff>
      <xdr:row>16</xdr:row>
      <xdr:rowOff>152400</xdr:rowOff>
    </xdr:to>
    <xdr:pic>
      <xdr:nvPicPr>
        <xdr:cNvPr id="935" name="ID_686A585DF1664D6F9BE7FBB98080130F"/>
        <xdr:cNvPicPr>
          <a:picLocks noChangeAspect="1"/>
        </xdr:cNvPicPr>
      </xdr:nvPicPr>
      <xdr:blipFill>
        <a:blip r:embed="rId538"/>
        <a:stretch>
          <a:fillRect/>
        </a:stretch>
      </xdr:blipFill>
      <xdr:spPr>
        <a:xfrm>
          <a:off x="14921865" y="26988770"/>
          <a:ext cx="7562850" cy="3048000"/>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17</xdr:row>
      <xdr:rowOff>9525</xdr:rowOff>
    </xdr:to>
    <xdr:pic>
      <xdr:nvPicPr>
        <xdr:cNvPr id="936" name="ID_73A4CEBBD61F44F8820B5F9788EC29A3"/>
        <xdr:cNvPicPr>
          <a:picLocks noChangeAspect="1"/>
        </xdr:cNvPicPr>
      </xdr:nvPicPr>
      <xdr:blipFill>
        <a:blip r:embed="rId539"/>
        <a:stretch>
          <a:fillRect/>
        </a:stretch>
      </xdr:blipFill>
      <xdr:spPr>
        <a:xfrm>
          <a:off x="15683865" y="7729220"/>
          <a:ext cx="7486650" cy="3086100"/>
        </a:xfrm>
        <a:prstGeom prst="rect">
          <a:avLst/>
        </a:prstGeom>
        <a:noFill/>
        <a:ln w="9525">
          <a:noFill/>
        </a:ln>
      </xdr:spPr>
    </xdr:pic>
    <xdr:clientData/>
  </xdr:twoCellAnchor>
  <xdr:twoCellAnchor editAs="oneCell">
    <xdr:from>
      <xdr:col>0</xdr:col>
      <xdr:colOff>0</xdr:colOff>
      <xdr:row>0</xdr:row>
      <xdr:rowOff>0</xdr:rowOff>
    </xdr:from>
    <xdr:to>
      <xdr:col>11</xdr:col>
      <xdr:colOff>314325</xdr:colOff>
      <xdr:row>16</xdr:row>
      <xdr:rowOff>152400</xdr:rowOff>
    </xdr:to>
    <xdr:pic>
      <xdr:nvPicPr>
        <xdr:cNvPr id="937" name="ID_1EC833D20DC84116B65FFB890493089F"/>
        <xdr:cNvPicPr>
          <a:picLocks noChangeAspect="1"/>
        </xdr:cNvPicPr>
      </xdr:nvPicPr>
      <xdr:blipFill>
        <a:blip r:embed="rId540"/>
        <a:stretch>
          <a:fillRect/>
        </a:stretch>
      </xdr:blipFill>
      <xdr:spPr>
        <a:xfrm>
          <a:off x="14921865" y="17349470"/>
          <a:ext cx="7858125" cy="3048000"/>
        </a:xfrm>
        <a:prstGeom prst="rect">
          <a:avLst/>
        </a:prstGeom>
        <a:noFill/>
        <a:ln w="9525">
          <a:noFill/>
        </a:ln>
      </xdr:spPr>
    </xdr:pic>
    <xdr:clientData/>
  </xdr:twoCellAnchor>
  <xdr:twoCellAnchor editAs="oneCell">
    <xdr:from>
      <xdr:col>0</xdr:col>
      <xdr:colOff>0</xdr:colOff>
      <xdr:row>0</xdr:row>
      <xdr:rowOff>0</xdr:rowOff>
    </xdr:from>
    <xdr:to>
      <xdr:col>11</xdr:col>
      <xdr:colOff>571500</xdr:colOff>
      <xdr:row>17</xdr:row>
      <xdr:rowOff>104775</xdr:rowOff>
    </xdr:to>
    <xdr:pic>
      <xdr:nvPicPr>
        <xdr:cNvPr id="938" name="ID_EAB514488A9F4DE3ACE91DE3B465E953"/>
        <xdr:cNvPicPr>
          <a:picLocks noChangeAspect="1"/>
        </xdr:cNvPicPr>
      </xdr:nvPicPr>
      <xdr:blipFill>
        <a:blip r:embed="rId541"/>
        <a:stretch>
          <a:fillRect/>
        </a:stretch>
      </xdr:blipFill>
      <xdr:spPr>
        <a:xfrm>
          <a:off x="14921865" y="70784720"/>
          <a:ext cx="8115300" cy="3181350"/>
        </a:xfrm>
        <a:prstGeom prst="rect">
          <a:avLst/>
        </a:prstGeom>
        <a:noFill/>
        <a:ln w="9525">
          <a:noFill/>
        </a:ln>
      </xdr:spPr>
    </xdr:pic>
    <xdr:clientData/>
  </xdr:twoCellAnchor>
  <xdr:twoCellAnchor editAs="oneCell">
    <xdr:from>
      <xdr:col>0</xdr:col>
      <xdr:colOff>0</xdr:colOff>
      <xdr:row>0</xdr:row>
      <xdr:rowOff>0</xdr:rowOff>
    </xdr:from>
    <xdr:to>
      <xdr:col>11</xdr:col>
      <xdr:colOff>38100</xdr:colOff>
      <xdr:row>16</xdr:row>
      <xdr:rowOff>123825</xdr:rowOff>
    </xdr:to>
    <xdr:pic>
      <xdr:nvPicPr>
        <xdr:cNvPr id="939" name="ID_6784D893B3924C2CAD6B17D19B4E8E5F"/>
        <xdr:cNvPicPr>
          <a:picLocks noChangeAspect="1"/>
        </xdr:cNvPicPr>
      </xdr:nvPicPr>
      <xdr:blipFill>
        <a:blip r:embed="rId542"/>
        <a:stretch>
          <a:fillRect/>
        </a:stretch>
      </xdr:blipFill>
      <xdr:spPr>
        <a:xfrm>
          <a:off x="14921865" y="27826970"/>
          <a:ext cx="7581900" cy="3019425"/>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133350</xdr:rowOff>
    </xdr:to>
    <xdr:pic>
      <xdr:nvPicPr>
        <xdr:cNvPr id="940" name="ID_7C61B097179D4140A227EB57CA7686B1"/>
        <xdr:cNvPicPr>
          <a:picLocks noChangeAspect="1"/>
        </xdr:cNvPicPr>
      </xdr:nvPicPr>
      <xdr:blipFill>
        <a:blip r:embed="rId543"/>
        <a:stretch>
          <a:fillRect/>
        </a:stretch>
      </xdr:blipFill>
      <xdr:spPr>
        <a:xfrm>
          <a:off x="14921865" y="8129270"/>
          <a:ext cx="7429500" cy="3028950"/>
        </a:xfrm>
        <a:prstGeom prst="rect">
          <a:avLst/>
        </a:prstGeom>
        <a:noFill/>
        <a:ln w="9525">
          <a:noFill/>
        </a:ln>
      </xdr:spPr>
    </xdr:pic>
    <xdr:clientData/>
  </xdr:twoCellAnchor>
  <xdr:twoCellAnchor editAs="oneCell">
    <xdr:from>
      <xdr:col>0</xdr:col>
      <xdr:colOff>0</xdr:colOff>
      <xdr:row>0</xdr:row>
      <xdr:rowOff>0</xdr:rowOff>
    </xdr:from>
    <xdr:to>
      <xdr:col>11</xdr:col>
      <xdr:colOff>466725</xdr:colOff>
      <xdr:row>16</xdr:row>
      <xdr:rowOff>171450</xdr:rowOff>
    </xdr:to>
    <xdr:pic>
      <xdr:nvPicPr>
        <xdr:cNvPr id="941" name="ID_1C546D5768C941E6BECEA0532DABC116"/>
        <xdr:cNvPicPr>
          <a:picLocks noChangeAspect="1"/>
        </xdr:cNvPicPr>
      </xdr:nvPicPr>
      <xdr:blipFill>
        <a:blip r:embed="rId544"/>
        <a:stretch>
          <a:fillRect/>
        </a:stretch>
      </xdr:blipFill>
      <xdr:spPr>
        <a:xfrm>
          <a:off x="14921865" y="37885370"/>
          <a:ext cx="8010525" cy="3067050"/>
        </a:xfrm>
        <a:prstGeom prst="rect">
          <a:avLst/>
        </a:prstGeom>
        <a:noFill/>
        <a:ln w="9525">
          <a:noFill/>
        </a:ln>
      </xdr:spPr>
    </xdr:pic>
    <xdr:clientData/>
  </xdr:twoCellAnchor>
  <xdr:twoCellAnchor editAs="oneCell">
    <xdr:from>
      <xdr:col>0</xdr:col>
      <xdr:colOff>0</xdr:colOff>
      <xdr:row>0</xdr:row>
      <xdr:rowOff>0</xdr:rowOff>
    </xdr:from>
    <xdr:to>
      <xdr:col>11</xdr:col>
      <xdr:colOff>66675</xdr:colOff>
      <xdr:row>11</xdr:row>
      <xdr:rowOff>0</xdr:rowOff>
    </xdr:to>
    <xdr:pic>
      <xdr:nvPicPr>
        <xdr:cNvPr id="942" name="ID_599849818B1847C08F68119F6771B065"/>
        <xdr:cNvPicPr>
          <a:picLocks noChangeAspect="1"/>
        </xdr:cNvPicPr>
      </xdr:nvPicPr>
      <xdr:blipFill>
        <a:blip r:embed="rId545"/>
        <a:stretch>
          <a:fillRect/>
        </a:stretch>
      </xdr:blipFill>
      <xdr:spPr>
        <a:xfrm>
          <a:off x="14921865" y="28246070"/>
          <a:ext cx="7610475" cy="1990725"/>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133350</xdr:rowOff>
    </xdr:to>
    <xdr:pic>
      <xdr:nvPicPr>
        <xdr:cNvPr id="943" name="ID_686D2374635A41B5AB8D21890C885A9B"/>
        <xdr:cNvPicPr>
          <a:picLocks noChangeAspect="1"/>
        </xdr:cNvPicPr>
      </xdr:nvPicPr>
      <xdr:blipFill>
        <a:blip r:embed="rId546"/>
        <a:stretch>
          <a:fillRect/>
        </a:stretch>
      </xdr:blipFill>
      <xdr:spPr>
        <a:xfrm>
          <a:off x="14921865" y="8548370"/>
          <a:ext cx="7429500" cy="3028950"/>
        </a:xfrm>
        <a:prstGeom prst="rect">
          <a:avLst/>
        </a:prstGeom>
        <a:noFill/>
        <a:ln w="9525">
          <a:noFill/>
        </a:ln>
      </xdr:spPr>
    </xdr:pic>
    <xdr:clientData/>
  </xdr:twoCellAnchor>
  <xdr:twoCellAnchor editAs="oneCell">
    <xdr:from>
      <xdr:col>0</xdr:col>
      <xdr:colOff>0</xdr:colOff>
      <xdr:row>0</xdr:row>
      <xdr:rowOff>0</xdr:rowOff>
    </xdr:from>
    <xdr:to>
      <xdr:col>11</xdr:col>
      <xdr:colOff>390525</xdr:colOff>
      <xdr:row>16</xdr:row>
      <xdr:rowOff>133350</xdr:rowOff>
    </xdr:to>
    <xdr:pic>
      <xdr:nvPicPr>
        <xdr:cNvPr id="944" name="ID_C7300ADB77854BF0A4F7CC95C96356A5"/>
        <xdr:cNvPicPr>
          <a:picLocks noChangeAspect="1"/>
        </xdr:cNvPicPr>
      </xdr:nvPicPr>
      <xdr:blipFill>
        <a:blip r:embed="rId547"/>
        <a:stretch>
          <a:fillRect/>
        </a:stretch>
      </xdr:blipFill>
      <xdr:spPr>
        <a:xfrm>
          <a:off x="14921865" y="18187670"/>
          <a:ext cx="7934325" cy="3028950"/>
        </a:xfrm>
        <a:prstGeom prst="rect">
          <a:avLst/>
        </a:prstGeom>
        <a:noFill/>
        <a:ln w="9525">
          <a:noFill/>
        </a:ln>
      </xdr:spPr>
    </xdr:pic>
    <xdr:clientData/>
  </xdr:twoCellAnchor>
  <xdr:twoCellAnchor editAs="oneCell">
    <xdr:from>
      <xdr:col>0</xdr:col>
      <xdr:colOff>0</xdr:colOff>
      <xdr:row>0</xdr:row>
      <xdr:rowOff>0</xdr:rowOff>
    </xdr:from>
    <xdr:to>
      <xdr:col>10</xdr:col>
      <xdr:colOff>542925</xdr:colOff>
      <xdr:row>17</xdr:row>
      <xdr:rowOff>0</xdr:rowOff>
    </xdr:to>
    <xdr:pic>
      <xdr:nvPicPr>
        <xdr:cNvPr id="945" name="ID_B96F96AC48AF4B5F89AE324AF53A40CC"/>
        <xdr:cNvPicPr>
          <a:picLocks noChangeAspect="1"/>
        </xdr:cNvPicPr>
      </xdr:nvPicPr>
      <xdr:blipFill>
        <a:blip r:embed="rId548"/>
        <a:stretch>
          <a:fillRect/>
        </a:stretch>
      </xdr:blipFill>
      <xdr:spPr>
        <a:xfrm>
          <a:off x="14921865" y="8967470"/>
          <a:ext cx="7400925" cy="3076575"/>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16</xdr:row>
      <xdr:rowOff>142875</xdr:rowOff>
    </xdr:to>
    <xdr:pic>
      <xdr:nvPicPr>
        <xdr:cNvPr id="946" name="ID_23C285AB56C3462E8E2E3290AC94F855"/>
        <xdr:cNvPicPr>
          <a:picLocks noChangeAspect="1"/>
        </xdr:cNvPicPr>
      </xdr:nvPicPr>
      <xdr:blipFill>
        <a:blip r:embed="rId549"/>
        <a:stretch>
          <a:fillRect/>
        </a:stretch>
      </xdr:blipFill>
      <xdr:spPr>
        <a:xfrm>
          <a:off x="14921865" y="9386570"/>
          <a:ext cx="7439025" cy="3038475"/>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16</xdr:row>
      <xdr:rowOff>171450</xdr:rowOff>
    </xdr:to>
    <xdr:pic>
      <xdr:nvPicPr>
        <xdr:cNvPr id="947" name="ID_14716B16E4724ADEBAB54035769F7834"/>
        <xdr:cNvPicPr>
          <a:picLocks noChangeAspect="1"/>
        </xdr:cNvPicPr>
      </xdr:nvPicPr>
      <xdr:blipFill>
        <a:blip r:embed="rId550"/>
        <a:stretch>
          <a:fillRect/>
        </a:stretch>
      </xdr:blipFill>
      <xdr:spPr>
        <a:xfrm>
          <a:off x="14921865" y="9805670"/>
          <a:ext cx="7924800" cy="3067050"/>
        </a:xfrm>
        <a:prstGeom prst="rect">
          <a:avLst/>
        </a:prstGeom>
        <a:noFill/>
        <a:ln w="9525">
          <a:noFill/>
        </a:ln>
      </xdr:spPr>
    </xdr:pic>
    <xdr:clientData/>
  </xdr:twoCellAnchor>
  <xdr:twoCellAnchor editAs="oneCell">
    <xdr:from>
      <xdr:col>0</xdr:col>
      <xdr:colOff>0</xdr:colOff>
      <xdr:row>0</xdr:row>
      <xdr:rowOff>0</xdr:rowOff>
    </xdr:from>
    <xdr:to>
      <xdr:col>10</xdr:col>
      <xdr:colOff>114300</xdr:colOff>
      <xdr:row>17</xdr:row>
      <xdr:rowOff>9525</xdr:rowOff>
    </xdr:to>
    <xdr:pic>
      <xdr:nvPicPr>
        <xdr:cNvPr id="948" name="ID_2B47AA92F8BC46EFBE22BE8364CC8876"/>
        <xdr:cNvPicPr>
          <a:picLocks noChangeAspect="1"/>
        </xdr:cNvPicPr>
      </xdr:nvPicPr>
      <xdr:blipFill>
        <a:blip r:embed="rId551"/>
        <a:stretch>
          <a:fillRect/>
        </a:stretch>
      </xdr:blipFill>
      <xdr:spPr>
        <a:xfrm>
          <a:off x="14921865" y="48781970"/>
          <a:ext cx="6972300" cy="3086100"/>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16</xdr:row>
      <xdr:rowOff>171450</xdr:rowOff>
    </xdr:to>
    <xdr:pic>
      <xdr:nvPicPr>
        <xdr:cNvPr id="949" name="ID_2D967E06D5264E2B83DC6C440F9F768D"/>
        <xdr:cNvPicPr>
          <a:picLocks noChangeAspect="1"/>
        </xdr:cNvPicPr>
      </xdr:nvPicPr>
      <xdr:blipFill>
        <a:blip r:embed="rId552"/>
        <a:stretch>
          <a:fillRect/>
        </a:stretch>
      </xdr:blipFill>
      <xdr:spPr>
        <a:xfrm>
          <a:off x="14921865" y="10224770"/>
          <a:ext cx="7924800" cy="3067050"/>
        </a:xfrm>
        <a:prstGeom prst="rect">
          <a:avLst/>
        </a:prstGeom>
        <a:noFill/>
        <a:ln w="9525">
          <a:noFill/>
        </a:ln>
      </xdr:spPr>
    </xdr:pic>
    <xdr:clientData/>
  </xdr:twoCellAnchor>
  <xdr:twoCellAnchor editAs="oneCell">
    <xdr:from>
      <xdr:col>0</xdr:col>
      <xdr:colOff>0</xdr:colOff>
      <xdr:row>0</xdr:row>
      <xdr:rowOff>0</xdr:rowOff>
    </xdr:from>
    <xdr:to>
      <xdr:col>11</xdr:col>
      <xdr:colOff>66675</xdr:colOff>
      <xdr:row>16</xdr:row>
      <xdr:rowOff>142875</xdr:rowOff>
    </xdr:to>
    <xdr:pic>
      <xdr:nvPicPr>
        <xdr:cNvPr id="950" name="ID_FA97C791F9384958A4E86E5A53DFCE0A"/>
        <xdr:cNvPicPr>
          <a:picLocks noChangeAspect="1"/>
        </xdr:cNvPicPr>
      </xdr:nvPicPr>
      <xdr:blipFill>
        <a:blip r:embed="rId553"/>
        <a:stretch>
          <a:fillRect/>
        </a:stretch>
      </xdr:blipFill>
      <xdr:spPr>
        <a:xfrm>
          <a:off x="14921865" y="19864070"/>
          <a:ext cx="7610475" cy="3038475"/>
        </a:xfrm>
        <a:prstGeom prst="rect">
          <a:avLst/>
        </a:prstGeom>
        <a:noFill/>
        <a:ln w="9525">
          <a:noFill/>
        </a:ln>
      </xdr:spPr>
    </xdr:pic>
    <xdr:clientData/>
  </xdr:twoCellAnchor>
  <xdr:twoCellAnchor editAs="oneCell">
    <xdr:from>
      <xdr:col>0</xdr:col>
      <xdr:colOff>0</xdr:colOff>
      <xdr:row>0</xdr:row>
      <xdr:rowOff>0</xdr:rowOff>
    </xdr:from>
    <xdr:to>
      <xdr:col>11</xdr:col>
      <xdr:colOff>361950</xdr:colOff>
      <xdr:row>17</xdr:row>
      <xdr:rowOff>66675</xdr:rowOff>
    </xdr:to>
    <xdr:pic>
      <xdr:nvPicPr>
        <xdr:cNvPr id="951" name="ID_FB955196BCAD4869A53631385379BC40"/>
        <xdr:cNvPicPr>
          <a:picLocks noChangeAspect="1"/>
        </xdr:cNvPicPr>
      </xdr:nvPicPr>
      <xdr:blipFill>
        <a:blip r:embed="rId554"/>
        <a:stretch>
          <a:fillRect/>
        </a:stretch>
      </xdr:blipFill>
      <xdr:spPr>
        <a:xfrm>
          <a:off x="14921865" y="10643870"/>
          <a:ext cx="7905750" cy="3143250"/>
        </a:xfrm>
        <a:prstGeom prst="rect">
          <a:avLst/>
        </a:prstGeom>
        <a:noFill/>
        <a:ln w="9525">
          <a:noFill/>
        </a:ln>
      </xdr:spPr>
    </xdr:pic>
    <xdr:clientData/>
  </xdr:twoCellAnchor>
  <xdr:twoCellAnchor editAs="oneCell">
    <xdr:from>
      <xdr:col>0</xdr:col>
      <xdr:colOff>0</xdr:colOff>
      <xdr:row>0</xdr:row>
      <xdr:rowOff>0</xdr:rowOff>
    </xdr:from>
    <xdr:to>
      <xdr:col>12</xdr:col>
      <xdr:colOff>600075</xdr:colOff>
      <xdr:row>21</xdr:row>
      <xdr:rowOff>95250</xdr:rowOff>
    </xdr:to>
    <xdr:pic>
      <xdr:nvPicPr>
        <xdr:cNvPr id="952" name="ID_E700E5C180CB4447B32403BA94D0EBA0"/>
        <xdr:cNvPicPr>
          <a:picLocks noChangeAspect="1"/>
        </xdr:cNvPicPr>
      </xdr:nvPicPr>
      <xdr:blipFill>
        <a:blip r:embed="rId555"/>
        <a:stretch>
          <a:fillRect/>
        </a:stretch>
      </xdr:blipFill>
      <xdr:spPr>
        <a:xfrm>
          <a:off x="14921865" y="11901170"/>
          <a:ext cx="8829675" cy="3895725"/>
        </a:xfrm>
        <a:prstGeom prst="rect">
          <a:avLst/>
        </a:prstGeom>
        <a:noFill/>
        <a:ln w="9525">
          <a:noFill/>
        </a:ln>
      </xdr:spPr>
    </xdr:pic>
    <xdr:clientData/>
  </xdr:twoCellAnchor>
  <xdr:twoCellAnchor editAs="oneCell">
    <xdr:from>
      <xdr:col>0</xdr:col>
      <xdr:colOff>0</xdr:colOff>
      <xdr:row>0</xdr:row>
      <xdr:rowOff>0</xdr:rowOff>
    </xdr:from>
    <xdr:to>
      <xdr:col>11</xdr:col>
      <xdr:colOff>47625</xdr:colOff>
      <xdr:row>17</xdr:row>
      <xdr:rowOff>9525</xdr:rowOff>
    </xdr:to>
    <xdr:pic>
      <xdr:nvPicPr>
        <xdr:cNvPr id="953" name="ID_247DCEA9429D46B79CC0699DA6B0F16D"/>
        <xdr:cNvPicPr>
          <a:picLocks noChangeAspect="1"/>
        </xdr:cNvPicPr>
      </xdr:nvPicPr>
      <xdr:blipFill>
        <a:blip r:embed="rId556"/>
        <a:stretch>
          <a:fillRect/>
        </a:stretch>
      </xdr:blipFill>
      <xdr:spPr>
        <a:xfrm>
          <a:off x="14921865" y="32017970"/>
          <a:ext cx="7591425" cy="3086100"/>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17</xdr:row>
      <xdr:rowOff>0</xdr:rowOff>
    </xdr:to>
    <xdr:pic>
      <xdr:nvPicPr>
        <xdr:cNvPr id="954" name="ID_CD9F844F1F25421E8C0ADE9A0C316D75"/>
        <xdr:cNvPicPr>
          <a:picLocks noChangeAspect="1"/>
        </xdr:cNvPicPr>
      </xdr:nvPicPr>
      <xdr:blipFill>
        <a:blip r:embed="rId557"/>
        <a:stretch>
          <a:fillRect/>
        </a:stretch>
      </xdr:blipFill>
      <xdr:spPr>
        <a:xfrm>
          <a:off x="14921865" y="12320270"/>
          <a:ext cx="7439025" cy="3076575"/>
        </a:xfrm>
        <a:prstGeom prst="rect">
          <a:avLst/>
        </a:prstGeom>
        <a:noFill/>
        <a:ln w="9525">
          <a:noFill/>
        </a:ln>
      </xdr:spPr>
    </xdr:pic>
    <xdr:clientData/>
  </xdr:twoCellAnchor>
  <xdr:twoCellAnchor editAs="oneCell">
    <xdr:from>
      <xdr:col>0</xdr:col>
      <xdr:colOff>0</xdr:colOff>
      <xdr:row>0</xdr:row>
      <xdr:rowOff>0</xdr:rowOff>
    </xdr:from>
    <xdr:to>
      <xdr:col>11</xdr:col>
      <xdr:colOff>0</xdr:colOff>
      <xdr:row>5</xdr:row>
      <xdr:rowOff>95250</xdr:rowOff>
    </xdr:to>
    <xdr:pic>
      <xdr:nvPicPr>
        <xdr:cNvPr id="955" name="ID_12047C022D584F64BFF7E48849399A4C"/>
        <xdr:cNvPicPr>
          <a:picLocks noChangeAspect="1"/>
        </xdr:cNvPicPr>
      </xdr:nvPicPr>
      <xdr:blipFill>
        <a:blip r:embed="rId558"/>
        <a:stretch>
          <a:fillRect/>
        </a:stretch>
      </xdr:blipFill>
      <xdr:spPr>
        <a:xfrm>
          <a:off x="14921865" y="21959570"/>
          <a:ext cx="7543800" cy="1000125"/>
        </a:xfrm>
        <a:prstGeom prst="rect">
          <a:avLst/>
        </a:prstGeom>
        <a:noFill/>
        <a:ln w="9525">
          <a:noFill/>
        </a:ln>
      </xdr:spPr>
    </xdr:pic>
    <xdr:clientData/>
  </xdr:twoCellAnchor>
  <xdr:twoCellAnchor editAs="oneCell">
    <xdr:from>
      <xdr:col>0</xdr:col>
      <xdr:colOff>0</xdr:colOff>
      <xdr:row>0</xdr:row>
      <xdr:rowOff>0</xdr:rowOff>
    </xdr:from>
    <xdr:to>
      <xdr:col>11</xdr:col>
      <xdr:colOff>114300</xdr:colOff>
      <xdr:row>7</xdr:row>
      <xdr:rowOff>114300</xdr:rowOff>
    </xdr:to>
    <xdr:pic>
      <xdr:nvPicPr>
        <xdr:cNvPr id="956" name="ID_CD14107B0D094403AB6491E70D4D93D8"/>
        <xdr:cNvPicPr>
          <a:picLocks noChangeAspect="1"/>
        </xdr:cNvPicPr>
      </xdr:nvPicPr>
      <xdr:blipFill>
        <a:blip r:embed="rId559"/>
        <a:stretch>
          <a:fillRect/>
        </a:stretch>
      </xdr:blipFill>
      <xdr:spPr>
        <a:xfrm>
          <a:off x="14921865" y="32437070"/>
          <a:ext cx="7658100" cy="1381125"/>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16</xdr:row>
      <xdr:rowOff>171450</xdr:rowOff>
    </xdr:to>
    <xdr:pic>
      <xdr:nvPicPr>
        <xdr:cNvPr id="957" name="ID_68F9FD21D0734433B75E650D14ADAF03"/>
        <xdr:cNvPicPr>
          <a:picLocks noChangeAspect="1"/>
        </xdr:cNvPicPr>
      </xdr:nvPicPr>
      <xdr:blipFill>
        <a:blip r:embed="rId560"/>
        <a:stretch>
          <a:fillRect/>
        </a:stretch>
      </xdr:blipFill>
      <xdr:spPr>
        <a:xfrm>
          <a:off x="14921865" y="12739370"/>
          <a:ext cx="7467600" cy="3067050"/>
        </a:xfrm>
        <a:prstGeom prst="rect">
          <a:avLst/>
        </a:prstGeom>
        <a:noFill/>
        <a:ln w="9525">
          <a:noFill/>
        </a:ln>
      </xdr:spPr>
    </xdr:pic>
    <xdr:clientData/>
  </xdr:twoCellAnchor>
  <xdr:twoCellAnchor editAs="oneCell">
    <xdr:from>
      <xdr:col>0</xdr:col>
      <xdr:colOff>0</xdr:colOff>
      <xdr:row>0</xdr:row>
      <xdr:rowOff>0</xdr:rowOff>
    </xdr:from>
    <xdr:to>
      <xdr:col>10</xdr:col>
      <xdr:colOff>552450</xdr:colOff>
      <xdr:row>16</xdr:row>
      <xdr:rowOff>161925</xdr:rowOff>
    </xdr:to>
    <xdr:pic>
      <xdr:nvPicPr>
        <xdr:cNvPr id="958" name="ID_6E1AA6B822B048109DA108B8DFD947F3"/>
        <xdr:cNvPicPr>
          <a:picLocks noChangeAspect="1"/>
        </xdr:cNvPicPr>
      </xdr:nvPicPr>
      <xdr:blipFill>
        <a:blip r:embed="rId561"/>
        <a:stretch>
          <a:fillRect/>
        </a:stretch>
      </xdr:blipFill>
      <xdr:spPr>
        <a:xfrm>
          <a:off x="14921865" y="13577570"/>
          <a:ext cx="7410450" cy="3057525"/>
        </a:xfrm>
        <a:prstGeom prst="rect">
          <a:avLst/>
        </a:prstGeom>
        <a:noFill/>
        <a:ln w="9525">
          <a:noFill/>
        </a:ln>
      </xdr:spPr>
    </xdr:pic>
    <xdr:clientData/>
  </xdr:twoCellAnchor>
  <xdr:twoCellAnchor editAs="oneCell">
    <xdr:from>
      <xdr:col>0</xdr:col>
      <xdr:colOff>0</xdr:colOff>
      <xdr:row>0</xdr:row>
      <xdr:rowOff>0</xdr:rowOff>
    </xdr:from>
    <xdr:to>
      <xdr:col>10</xdr:col>
      <xdr:colOff>514350</xdr:colOff>
      <xdr:row>17</xdr:row>
      <xdr:rowOff>9525</xdr:rowOff>
    </xdr:to>
    <xdr:pic>
      <xdr:nvPicPr>
        <xdr:cNvPr id="959" name="ID_5A81FEEE739342B1BC1B48C9E6DDA650"/>
        <xdr:cNvPicPr>
          <a:picLocks noChangeAspect="1"/>
        </xdr:cNvPicPr>
      </xdr:nvPicPr>
      <xdr:blipFill>
        <a:blip r:embed="rId562"/>
        <a:stretch>
          <a:fillRect/>
        </a:stretch>
      </xdr:blipFill>
      <xdr:spPr>
        <a:xfrm>
          <a:off x="14921865" y="14415770"/>
          <a:ext cx="7372350" cy="3086100"/>
        </a:xfrm>
        <a:prstGeom prst="rect">
          <a:avLst/>
        </a:prstGeom>
        <a:noFill/>
        <a:ln w="9525">
          <a:noFill/>
        </a:ln>
      </xdr:spPr>
    </xdr:pic>
    <xdr:clientData/>
  </xdr:twoCellAnchor>
  <xdr:twoCellAnchor editAs="oneCell">
    <xdr:from>
      <xdr:col>0</xdr:col>
      <xdr:colOff>0</xdr:colOff>
      <xdr:row>0</xdr:row>
      <xdr:rowOff>0</xdr:rowOff>
    </xdr:from>
    <xdr:to>
      <xdr:col>11</xdr:col>
      <xdr:colOff>466725</xdr:colOff>
      <xdr:row>17</xdr:row>
      <xdr:rowOff>0</xdr:rowOff>
    </xdr:to>
    <xdr:pic>
      <xdr:nvPicPr>
        <xdr:cNvPr id="960" name="ID_5D70990B87B14628A71662E81DD38313"/>
        <xdr:cNvPicPr>
          <a:picLocks noChangeAspect="1"/>
        </xdr:cNvPicPr>
      </xdr:nvPicPr>
      <xdr:blipFill>
        <a:blip r:embed="rId563"/>
        <a:stretch>
          <a:fillRect/>
        </a:stretch>
      </xdr:blipFill>
      <xdr:spPr>
        <a:xfrm>
          <a:off x="14921865" y="44590970"/>
          <a:ext cx="8010525" cy="3076575"/>
        </a:xfrm>
        <a:prstGeom prst="rect">
          <a:avLst/>
        </a:prstGeom>
        <a:noFill/>
        <a:ln w="9525">
          <a:noFill/>
        </a:ln>
      </xdr:spPr>
    </xdr:pic>
    <xdr:clientData/>
  </xdr:twoCellAnchor>
  <xdr:twoCellAnchor editAs="oneCell">
    <xdr:from>
      <xdr:col>0</xdr:col>
      <xdr:colOff>0</xdr:colOff>
      <xdr:row>0</xdr:row>
      <xdr:rowOff>0</xdr:rowOff>
    </xdr:from>
    <xdr:to>
      <xdr:col>10</xdr:col>
      <xdr:colOff>523875</xdr:colOff>
      <xdr:row>16</xdr:row>
      <xdr:rowOff>171450</xdr:rowOff>
    </xdr:to>
    <xdr:pic>
      <xdr:nvPicPr>
        <xdr:cNvPr id="961" name="ID_2633056A73224637AD5E374B4E0F6443"/>
        <xdr:cNvPicPr>
          <a:picLocks noChangeAspect="1"/>
        </xdr:cNvPicPr>
      </xdr:nvPicPr>
      <xdr:blipFill>
        <a:blip r:embed="rId564"/>
        <a:stretch>
          <a:fillRect/>
        </a:stretch>
      </xdr:blipFill>
      <xdr:spPr>
        <a:xfrm>
          <a:off x="14921865" y="34532570"/>
          <a:ext cx="7381875" cy="3067050"/>
        </a:xfrm>
        <a:prstGeom prst="rect">
          <a:avLst/>
        </a:prstGeom>
        <a:noFill/>
        <a:ln w="9525">
          <a:noFill/>
        </a:ln>
      </xdr:spPr>
    </xdr:pic>
    <xdr:clientData/>
  </xdr:twoCellAnchor>
  <xdr:twoCellAnchor editAs="oneCell">
    <xdr:from>
      <xdr:col>0</xdr:col>
      <xdr:colOff>0</xdr:colOff>
      <xdr:row>0</xdr:row>
      <xdr:rowOff>0</xdr:rowOff>
    </xdr:from>
    <xdr:to>
      <xdr:col>11</xdr:col>
      <xdr:colOff>57150</xdr:colOff>
      <xdr:row>17</xdr:row>
      <xdr:rowOff>9525</xdr:rowOff>
    </xdr:to>
    <xdr:pic>
      <xdr:nvPicPr>
        <xdr:cNvPr id="962" name="ID_6CF0750EE504457D9031CA35C0C7234B"/>
        <xdr:cNvPicPr>
          <a:picLocks noChangeAspect="1"/>
        </xdr:cNvPicPr>
      </xdr:nvPicPr>
      <xdr:blipFill>
        <a:blip r:embed="rId565"/>
        <a:stretch>
          <a:fillRect/>
        </a:stretch>
      </xdr:blipFill>
      <xdr:spPr>
        <a:xfrm>
          <a:off x="14921865" y="24893270"/>
          <a:ext cx="7600950" cy="3086100"/>
        </a:xfrm>
        <a:prstGeom prst="rect">
          <a:avLst/>
        </a:prstGeom>
        <a:noFill/>
        <a:ln w="9525">
          <a:noFill/>
        </a:ln>
      </xdr:spPr>
    </xdr:pic>
    <xdr:clientData/>
  </xdr:twoCellAnchor>
  <xdr:twoCellAnchor editAs="oneCell">
    <xdr:from>
      <xdr:col>0</xdr:col>
      <xdr:colOff>0</xdr:colOff>
      <xdr:row>0</xdr:row>
      <xdr:rowOff>0</xdr:rowOff>
    </xdr:from>
    <xdr:to>
      <xdr:col>4</xdr:col>
      <xdr:colOff>28575</xdr:colOff>
      <xdr:row>14</xdr:row>
      <xdr:rowOff>19050</xdr:rowOff>
    </xdr:to>
    <xdr:pic>
      <xdr:nvPicPr>
        <xdr:cNvPr id="963" name="ID_28E1589237D84315ADA4E2BF72980D50"/>
        <xdr:cNvPicPr>
          <a:picLocks noChangeAspect="1"/>
        </xdr:cNvPicPr>
      </xdr:nvPicPr>
      <xdr:blipFill>
        <a:blip r:embed="rId566"/>
        <a:stretch>
          <a:fillRect/>
        </a:stretch>
      </xdr:blipFill>
      <xdr:spPr>
        <a:xfrm>
          <a:off x="14921865" y="14834870"/>
          <a:ext cx="2771775" cy="2552700"/>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17</xdr:row>
      <xdr:rowOff>0</xdr:rowOff>
    </xdr:to>
    <xdr:pic>
      <xdr:nvPicPr>
        <xdr:cNvPr id="964" name="ID_33BAC90803A94464B9336D1577CC63E0"/>
        <xdr:cNvPicPr>
          <a:picLocks noChangeAspect="1"/>
        </xdr:cNvPicPr>
      </xdr:nvPicPr>
      <xdr:blipFill>
        <a:blip r:embed="rId567"/>
        <a:stretch>
          <a:fillRect/>
        </a:stretch>
      </xdr:blipFill>
      <xdr:spPr>
        <a:xfrm>
          <a:off x="14921865" y="15253970"/>
          <a:ext cx="7439025" cy="3076575"/>
        </a:xfrm>
        <a:prstGeom prst="rect">
          <a:avLst/>
        </a:prstGeom>
        <a:noFill/>
        <a:ln w="9525">
          <a:noFill/>
        </a:ln>
      </xdr:spPr>
    </xdr:pic>
    <xdr:clientData/>
  </xdr:twoCellAnchor>
  <xdr:twoCellAnchor editAs="oneCell">
    <xdr:from>
      <xdr:col>0</xdr:col>
      <xdr:colOff>0</xdr:colOff>
      <xdr:row>0</xdr:row>
      <xdr:rowOff>0</xdr:rowOff>
    </xdr:from>
    <xdr:to>
      <xdr:col>11</xdr:col>
      <xdr:colOff>295275</xdr:colOff>
      <xdr:row>12</xdr:row>
      <xdr:rowOff>9525</xdr:rowOff>
    </xdr:to>
    <xdr:pic>
      <xdr:nvPicPr>
        <xdr:cNvPr id="965" name="ID_BF22567395F346A1B391B13D86C87D9C"/>
        <xdr:cNvPicPr>
          <a:picLocks noChangeAspect="1"/>
        </xdr:cNvPicPr>
      </xdr:nvPicPr>
      <xdr:blipFill>
        <a:blip r:embed="rId568"/>
        <a:stretch>
          <a:fillRect/>
        </a:stretch>
      </xdr:blipFill>
      <xdr:spPr>
        <a:xfrm>
          <a:off x="14921865" y="16092170"/>
          <a:ext cx="7839075" cy="2181225"/>
        </a:xfrm>
        <a:prstGeom prst="rect">
          <a:avLst/>
        </a:prstGeom>
        <a:noFill/>
        <a:ln w="9525">
          <a:noFill/>
        </a:ln>
      </xdr:spPr>
    </xdr:pic>
    <xdr:clientData/>
  </xdr:twoCellAnchor>
  <xdr:twoCellAnchor editAs="oneCell">
    <xdr:from>
      <xdr:col>0</xdr:col>
      <xdr:colOff>0</xdr:colOff>
      <xdr:row>0</xdr:row>
      <xdr:rowOff>0</xdr:rowOff>
    </xdr:from>
    <xdr:to>
      <xdr:col>11</xdr:col>
      <xdr:colOff>142875</xdr:colOff>
      <xdr:row>6</xdr:row>
      <xdr:rowOff>38100</xdr:rowOff>
    </xdr:to>
    <xdr:pic>
      <xdr:nvPicPr>
        <xdr:cNvPr id="966" name="ID_1B29C2C6FAB046D78BB02A6F3DF485BC"/>
        <xdr:cNvPicPr>
          <a:picLocks noChangeAspect="1"/>
        </xdr:cNvPicPr>
      </xdr:nvPicPr>
      <xdr:blipFill>
        <a:blip r:embed="rId569"/>
        <a:stretch>
          <a:fillRect/>
        </a:stretch>
      </xdr:blipFill>
      <xdr:spPr>
        <a:xfrm>
          <a:off x="14921865" y="16930370"/>
          <a:ext cx="7686675" cy="1123950"/>
        </a:xfrm>
        <a:prstGeom prst="rect">
          <a:avLst/>
        </a:prstGeom>
        <a:noFill/>
        <a:ln w="9525">
          <a:noFill/>
        </a:ln>
      </xdr:spPr>
    </xdr:pic>
    <xdr:clientData/>
  </xdr:twoCellAnchor>
  <xdr:twoCellAnchor editAs="oneCell">
    <xdr:from>
      <xdr:col>0</xdr:col>
      <xdr:colOff>0</xdr:colOff>
      <xdr:row>0</xdr:row>
      <xdr:rowOff>0</xdr:rowOff>
    </xdr:from>
    <xdr:to>
      <xdr:col>13</xdr:col>
      <xdr:colOff>647700</xdr:colOff>
      <xdr:row>20</xdr:row>
      <xdr:rowOff>38100</xdr:rowOff>
    </xdr:to>
    <xdr:pic>
      <xdr:nvPicPr>
        <xdr:cNvPr id="967" name="ID_EB5C53D9368D472E8A1252BA3D70B3EB"/>
        <xdr:cNvPicPr>
          <a:picLocks noChangeAspect="1"/>
        </xdr:cNvPicPr>
      </xdr:nvPicPr>
      <xdr:blipFill>
        <a:blip r:embed="rId570"/>
        <a:stretch>
          <a:fillRect/>
        </a:stretch>
      </xdr:blipFill>
      <xdr:spPr>
        <a:xfrm>
          <a:off x="14921865" y="37466270"/>
          <a:ext cx="9563100" cy="3657600"/>
        </a:xfrm>
        <a:prstGeom prst="rect">
          <a:avLst/>
        </a:prstGeom>
        <a:noFill/>
        <a:ln w="9525">
          <a:noFill/>
        </a:ln>
      </xdr:spPr>
    </xdr:pic>
    <xdr:clientData/>
  </xdr:twoCellAnchor>
  <xdr:twoCellAnchor editAs="oneCell">
    <xdr:from>
      <xdr:col>0</xdr:col>
      <xdr:colOff>0</xdr:colOff>
      <xdr:row>0</xdr:row>
      <xdr:rowOff>0</xdr:rowOff>
    </xdr:from>
    <xdr:to>
      <xdr:col>11</xdr:col>
      <xdr:colOff>295275</xdr:colOff>
      <xdr:row>16</xdr:row>
      <xdr:rowOff>161925</xdr:rowOff>
    </xdr:to>
    <xdr:pic>
      <xdr:nvPicPr>
        <xdr:cNvPr id="968" name="ID_215930AD640147D5B8E67A08CC8FDE69"/>
        <xdr:cNvPicPr>
          <a:picLocks noChangeAspect="1"/>
        </xdr:cNvPicPr>
      </xdr:nvPicPr>
      <xdr:blipFill>
        <a:blip r:embed="rId571"/>
        <a:stretch>
          <a:fillRect/>
        </a:stretch>
      </xdr:blipFill>
      <xdr:spPr>
        <a:xfrm>
          <a:off x="14921865" y="17768570"/>
          <a:ext cx="7839075" cy="3057525"/>
        </a:xfrm>
        <a:prstGeom prst="rect">
          <a:avLst/>
        </a:prstGeom>
        <a:noFill/>
        <a:ln w="9525">
          <a:noFill/>
        </a:ln>
      </xdr:spPr>
    </xdr:pic>
    <xdr:clientData/>
  </xdr:twoCellAnchor>
  <xdr:twoCellAnchor editAs="oneCell">
    <xdr:from>
      <xdr:col>0</xdr:col>
      <xdr:colOff>0</xdr:colOff>
      <xdr:row>0</xdr:row>
      <xdr:rowOff>0</xdr:rowOff>
    </xdr:from>
    <xdr:to>
      <xdr:col>11</xdr:col>
      <xdr:colOff>381000</xdr:colOff>
      <xdr:row>17</xdr:row>
      <xdr:rowOff>28575</xdr:rowOff>
    </xdr:to>
    <xdr:pic>
      <xdr:nvPicPr>
        <xdr:cNvPr id="969" name="ID_AE57696632F04FDCA35349985B3D05F0"/>
        <xdr:cNvPicPr>
          <a:picLocks noChangeAspect="1"/>
        </xdr:cNvPicPr>
      </xdr:nvPicPr>
      <xdr:blipFill>
        <a:blip r:embed="rId572"/>
        <a:stretch>
          <a:fillRect/>
        </a:stretch>
      </xdr:blipFill>
      <xdr:spPr>
        <a:xfrm>
          <a:off x="14921865" y="18606770"/>
          <a:ext cx="7924800" cy="3105150"/>
        </a:xfrm>
        <a:prstGeom prst="rect">
          <a:avLst/>
        </a:prstGeom>
        <a:noFill/>
        <a:ln w="9525">
          <a:noFill/>
        </a:ln>
      </xdr:spPr>
    </xdr:pic>
    <xdr:clientData/>
  </xdr:twoCellAnchor>
  <xdr:twoCellAnchor editAs="oneCell">
    <xdr:from>
      <xdr:col>0</xdr:col>
      <xdr:colOff>0</xdr:colOff>
      <xdr:row>0</xdr:row>
      <xdr:rowOff>0</xdr:rowOff>
    </xdr:from>
    <xdr:to>
      <xdr:col>10</xdr:col>
      <xdr:colOff>76200</xdr:colOff>
      <xdr:row>17</xdr:row>
      <xdr:rowOff>19050</xdr:rowOff>
    </xdr:to>
    <xdr:pic>
      <xdr:nvPicPr>
        <xdr:cNvPr id="970" name="ID_2FFD3EDB7F4C4EFE8E05940D98BEEB52"/>
        <xdr:cNvPicPr>
          <a:picLocks noChangeAspect="1"/>
        </xdr:cNvPicPr>
      </xdr:nvPicPr>
      <xdr:blipFill>
        <a:blip r:embed="rId573"/>
        <a:stretch>
          <a:fillRect/>
        </a:stretch>
      </xdr:blipFill>
      <xdr:spPr>
        <a:xfrm>
          <a:off x="14921865" y="38723570"/>
          <a:ext cx="6934200" cy="3095625"/>
        </a:xfrm>
        <a:prstGeom prst="rect">
          <a:avLst/>
        </a:prstGeom>
        <a:noFill/>
        <a:ln w="9525">
          <a:noFill/>
        </a:ln>
      </xdr:spPr>
    </xdr:pic>
    <xdr:clientData/>
  </xdr:twoCellAnchor>
  <xdr:twoCellAnchor editAs="oneCell">
    <xdr:from>
      <xdr:col>0</xdr:col>
      <xdr:colOff>0</xdr:colOff>
      <xdr:row>0</xdr:row>
      <xdr:rowOff>0</xdr:rowOff>
    </xdr:from>
    <xdr:to>
      <xdr:col>11</xdr:col>
      <xdr:colOff>647700</xdr:colOff>
      <xdr:row>17</xdr:row>
      <xdr:rowOff>0</xdr:rowOff>
    </xdr:to>
    <xdr:pic>
      <xdr:nvPicPr>
        <xdr:cNvPr id="971" name="ID_BA9FD6385C994286AB86C564C6977238"/>
        <xdr:cNvPicPr>
          <a:picLocks noChangeAspect="1"/>
        </xdr:cNvPicPr>
      </xdr:nvPicPr>
      <xdr:blipFill>
        <a:blip r:embed="rId574"/>
        <a:stretch>
          <a:fillRect/>
        </a:stretch>
      </xdr:blipFill>
      <xdr:spPr>
        <a:xfrm>
          <a:off x="14921865" y="29084270"/>
          <a:ext cx="8191500" cy="3076575"/>
        </a:xfrm>
        <a:prstGeom prst="rect">
          <a:avLst/>
        </a:prstGeom>
        <a:noFill/>
        <a:ln w="9525">
          <a:noFill/>
        </a:ln>
      </xdr:spPr>
    </xdr:pic>
    <xdr:clientData/>
  </xdr:twoCellAnchor>
  <xdr:twoCellAnchor editAs="oneCell">
    <xdr:from>
      <xdr:col>0</xdr:col>
      <xdr:colOff>0</xdr:colOff>
      <xdr:row>0</xdr:row>
      <xdr:rowOff>0</xdr:rowOff>
    </xdr:from>
    <xdr:to>
      <xdr:col>11</xdr:col>
      <xdr:colOff>314325</xdr:colOff>
      <xdr:row>17</xdr:row>
      <xdr:rowOff>0</xdr:rowOff>
    </xdr:to>
    <xdr:pic>
      <xdr:nvPicPr>
        <xdr:cNvPr id="972" name="ID_7A83985FC3204474A0580C8E81AD1F22"/>
        <xdr:cNvPicPr>
          <a:picLocks noChangeAspect="1"/>
        </xdr:cNvPicPr>
      </xdr:nvPicPr>
      <xdr:blipFill>
        <a:blip r:embed="rId575"/>
        <a:stretch>
          <a:fillRect/>
        </a:stretch>
      </xdr:blipFill>
      <xdr:spPr>
        <a:xfrm>
          <a:off x="14921865" y="19025870"/>
          <a:ext cx="7858125" cy="3076575"/>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9</xdr:row>
      <xdr:rowOff>9525</xdr:rowOff>
    </xdr:to>
    <xdr:pic>
      <xdr:nvPicPr>
        <xdr:cNvPr id="973" name="ID_74764A49CA0C42C3A14FD5500D1B3D2C"/>
        <xdr:cNvPicPr>
          <a:picLocks noChangeAspect="1"/>
        </xdr:cNvPicPr>
      </xdr:nvPicPr>
      <xdr:blipFill>
        <a:blip r:embed="rId576"/>
        <a:stretch>
          <a:fillRect/>
        </a:stretch>
      </xdr:blipFill>
      <xdr:spPr>
        <a:xfrm>
          <a:off x="14921865" y="39142670"/>
          <a:ext cx="7000875" cy="1638300"/>
        </a:xfrm>
        <a:prstGeom prst="rect">
          <a:avLst/>
        </a:prstGeom>
        <a:noFill/>
        <a:ln w="9525">
          <a:noFill/>
        </a:ln>
      </xdr:spPr>
    </xdr:pic>
    <xdr:clientData/>
  </xdr:twoCellAnchor>
  <xdr:twoCellAnchor editAs="oneCell">
    <xdr:from>
      <xdr:col>0</xdr:col>
      <xdr:colOff>0</xdr:colOff>
      <xdr:row>0</xdr:row>
      <xdr:rowOff>0</xdr:rowOff>
    </xdr:from>
    <xdr:to>
      <xdr:col>11</xdr:col>
      <xdr:colOff>352425</xdr:colOff>
      <xdr:row>16</xdr:row>
      <xdr:rowOff>171450</xdr:rowOff>
    </xdr:to>
    <xdr:pic>
      <xdr:nvPicPr>
        <xdr:cNvPr id="974" name="ID_1668846106224B288621561AC7539570"/>
        <xdr:cNvPicPr>
          <a:picLocks noChangeAspect="1"/>
        </xdr:cNvPicPr>
      </xdr:nvPicPr>
      <xdr:blipFill>
        <a:blip r:embed="rId577"/>
        <a:stretch>
          <a:fillRect/>
        </a:stretch>
      </xdr:blipFill>
      <xdr:spPr>
        <a:xfrm>
          <a:off x="14921865" y="19444970"/>
          <a:ext cx="7896225" cy="3067050"/>
        </a:xfrm>
        <a:prstGeom prst="rect">
          <a:avLst/>
        </a:prstGeom>
        <a:noFill/>
        <a:ln w="9525">
          <a:noFill/>
        </a:ln>
      </xdr:spPr>
    </xdr:pic>
    <xdr:clientData/>
  </xdr:twoCellAnchor>
  <xdr:twoCellAnchor editAs="oneCell">
    <xdr:from>
      <xdr:col>0</xdr:col>
      <xdr:colOff>0</xdr:colOff>
      <xdr:row>0</xdr:row>
      <xdr:rowOff>0</xdr:rowOff>
    </xdr:from>
    <xdr:to>
      <xdr:col>11</xdr:col>
      <xdr:colOff>57150</xdr:colOff>
      <xdr:row>14</xdr:row>
      <xdr:rowOff>19050</xdr:rowOff>
    </xdr:to>
    <xdr:pic>
      <xdr:nvPicPr>
        <xdr:cNvPr id="975" name="ID_964B63CDE36B4CC9BADF253D7EB0E314"/>
        <xdr:cNvPicPr>
          <a:picLocks noChangeAspect="1"/>
        </xdr:cNvPicPr>
      </xdr:nvPicPr>
      <xdr:blipFill>
        <a:blip r:embed="rId578"/>
        <a:stretch>
          <a:fillRect/>
        </a:stretch>
      </xdr:blipFill>
      <xdr:spPr>
        <a:xfrm>
          <a:off x="14921865" y="20283170"/>
          <a:ext cx="7600950" cy="2552700"/>
        </a:xfrm>
        <a:prstGeom prst="rect">
          <a:avLst/>
        </a:prstGeom>
        <a:noFill/>
        <a:ln w="9525">
          <a:noFill/>
        </a:ln>
      </xdr:spPr>
    </xdr:pic>
    <xdr:clientData/>
  </xdr:twoCellAnchor>
  <xdr:twoCellAnchor editAs="oneCell">
    <xdr:from>
      <xdr:col>0</xdr:col>
      <xdr:colOff>0</xdr:colOff>
      <xdr:row>0</xdr:row>
      <xdr:rowOff>0</xdr:rowOff>
    </xdr:from>
    <xdr:to>
      <xdr:col>11</xdr:col>
      <xdr:colOff>38100</xdr:colOff>
      <xdr:row>16</xdr:row>
      <xdr:rowOff>133350</xdr:rowOff>
    </xdr:to>
    <xdr:pic>
      <xdr:nvPicPr>
        <xdr:cNvPr id="976" name="ID_7CB083882A4A4FA6B86F202E8235347D"/>
        <xdr:cNvPicPr>
          <a:picLocks noChangeAspect="1"/>
        </xdr:cNvPicPr>
      </xdr:nvPicPr>
      <xdr:blipFill>
        <a:blip r:embed="rId579"/>
        <a:stretch>
          <a:fillRect/>
        </a:stretch>
      </xdr:blipFill>
      <xdr:spPr>
        <a:xfrm>
          <a:off x="14921865" y="21540470"/>
          <a:ext cx="7581900" cy="3028950"/>
        </a:xfrm>
        <a:prstGeom prst="rect">
          <a:avLst/>
        </a:prstGeom>
        <a:noFill/>
        <a:ln w="9525">
          <a:noFill/>
        </a:ln>
      </xdr:spPr>
    </xdr:pic>
    <xdr:clientData/>
  </xdr:twoCellAnchor>
  <xdr:twoCellAnchor editAs="oneCell">
    <xdr:from>
      <xdr:col>0</xdr:col>
      <xdr:colOff>0</xdr:colOff>
      <xdr:row>0</xdr:row>
      <xdr:rowOff>0</xdr:rowOff>
    </xdr:from>
    <xdr:to>
      <xdr:col>11</xdr:col>
      <xdr:colOff>57150</xdr:colOff>
      <xdr:row>17</xdr:row>
      <xdr:rowOff>47625</xdr:rowOff>
    </xdr:to>
    <xdr:pic>
      <xdr:nvPicPr>
        <xdr:cNvPr id="977" name="ID_4AB5C043BD3840E3AB7235584F021FA0"/>
        <xdr:cNvPicPr>
          <a:picLocks noChangeAspect="1"/>
        </xdr:cNvPicPr>
      </xdr:nvPicPr>
      <xdr:blipFill>
        <a:blip r:embed="rId580"/>
        <a:stretch>
          <a:fillRect/>
        </a:stretch>
      </xdr:blipFill>
      <xdr:spPr>
        <a:xfrm>
          <a:off x="14921865" y="23216870"/>
          <a:ext cx="7600950" cy="3124200"/>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17</xdr:row>
      <xdr:rowOff>19050</xdr:rowOff>
    </xdr:to>
    <xdr:pic>
      <xdr:nvPicPr>
        <xdr:cNvPr id="978" name="ID_BC42504DF6524D729202C62E33A76AB5"/>
        <xdr:cNvPicPr>
          <a:picLocks noChangeAspect="1"/>
        </xdr:cNvPicPr>
      </xdr:nvPicPr>
      <xdr:blipFill>
        <a:blip r:embed="rId581"/>
        <a:stretch>
          <a:fillRect/>
        </a:stretch>
      </xdr:blipFill>
      <xdr:spPr>
        <a:xfrm>
          <a:off x="14921865" y="41238170"/>
          <a:ext cx="7010400" cy="3095625"/>
        </a:xfrm>
        <a:prstGeom prst="rect">
          <a:avLst/>
        </a:prstGeom>
        <a:noFill/>
        <a:ln w="9525">
          <a:noFill/>
        </a:ln>
      </xdr:spPr>
    </xdr:pic>
    <xdr:clientData/>
  </xdr:twoCellAnchor>
  <xdr:twoCellAnchor editAs="oneCell">
    <xdr:from>
      <xdr:col>0</xdr:col>
      <xdr:colOff>0</xdr:colOff>
      <xdr:row>0</xdr:row>
      <xdr:rowOff>0</xdr:rowOff>
    </xdr:from>
    <xdr:to>
      <xdr:col>11</xdr:col>
      <xdr:colOff>66675</xdr:colOff>
      <xdr:row>5</xdr:row>
      <xdr:rowOff>161925</xdr:rowOff>
    </xdr:to>
    <xdr:pic>
      <xdr:nvPicPr>
        <xdr:cNvPr id="979" name="ID_12C2259ADCDA4577A89C569651688948"/>
        <xdr:cNvPicPr>
          <a:picLocks noChangeAspect="1"/>
        </xdr:cNvPicPr>
      </xdr:nvPicPr>
      <xdr:blipFill>
        <a:blip r:embed="rId582"/>
        <a:stretch>
          <a:fillRect/>
        </a:stretch>
      </xdr:blipFill>
      <xdr:spPr>
        <a:xfrm>
          <a:off x="14921865" y="26150570"/>
          <a:ext cx="7610475" cy="1066800"/>
        </a:xfrm>
        <a:prstGeom prst="rect">
          <a:avLst/>
        </a:prstGeom>
        <a:noFill/>
        <a:ln w="9525">
          <a:noFill/>
        </a:ln>
      </xdr:spPr>
    </xdr:pic>
    <xdr:clientData/>
  </xdr:twoCellAnchor>
  <xdr:twoCellAnchor editAs="oneCell">
    <xdr:from>
      <xdr:col>0</xdr:col>
      <xdr:colOff>0</xdr:colOff>
      <xdr:row>0</xdr:row>
      <xdr:rowOff>0</xdr:rowOff>
    </xdr:from>
    <xdr:to>
      <xdr:col>11</xdr:col>
      <xdr:colOff>476250</xdr:colOff>
      <xdr:row>7</xdr:row>
      <xdr:rowOff>9525</xdr:rowOff>
    </xdr:to>
    <xdr:pic>
      <xdr:nvPicPr>
        <xdr:cNvPr id="980" name="ID_706843C5C50B42308CECF2A77B1B3D10"/>
        <xdr:cNvPicPr>
          <a:picLocks noChangeAspect="1"/>
        </xdr:cNvPicPr>
      </xdr:nvPicPr>
      <xdr:blipFill>
        <a:blip r:embed="rId583"/>
        <a:stretch>
          <a:fillRect/>
        </a:stretch>
      </xdr:blipFill>
      <xdr:spPr>
        <a:xfrm>
          <a:off x="14921865" y="37047170"/>
          <a:ext cx="8020050" cy="1276350"/>
        </a:xfrm>
        <a:prstGeom prst="rect">
          <a:avLst/>
        </a:prstGeom>
        <a:noFill/>
        <a:ln w="9525">
          <a:noFill/>
        </a:ln>
      </xdr:spPr>
    </xdr:pic>
    <xdr:clientData/>
  </xdr:twoCellAnchor>
  <xdr:twoCellAnchor editAs="oneCell">
    <xdr:from>
      <xdr:col>0</xdr:col>
      <xdr:colOff>0</xdr:colOff>
      <xdr:row>0</xdr:row>
      <xdr:rowOff>0</xdr:rowOff>
    </xdr:from>
    <xdr:to>
      <xdr:col>11</xdr:col>
      <xdr:colOff>104775</xdr:colOff>
      <xdr:row>8</xdr:row>
      <xdr:rowOff>28575</xdr:rowOff>
    </xdr:to>
    <xdr:pic>
      <xdr:nvPicPr>
        <xdr:cNvPr id="981" name="ID_80946248581145C4875C4E96CFF08C52"/>
        <xdr:cNvPicPr>
          <a:picLocks noChangeAspect="1"/>
        </xdr:cNvPicPr>
      </xdr:nvPicPr>
      <xdr:blipFill>
        <a:blip r:embed="rId584"/>
        <a:stretch>
          <a:fillRect/>
        </a:stretch>
      </xdr:blipFill>
      <xdr:spPr>
        <a:xfrm>
          <a:off x="14921865" y="27407870"/>
          <a:ext cx="7648575" cy="1476375"/>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16</xdr:row>
      <xdr:rowOff>171450</xdr:rowOff>
    </xdr:to>
    <xdr:pic>
      <xdr:nvPicPr>
        <xdr:cNvPr id="982" name="ID_56364F2901A24E60A39ACF7B5C281432"/>
        <xdr:cNvPicPr>
          <a:picLocks noChangeAspect="1"/>
        </xdr:cNvPicPr>
      </xdr:nvPicPr>
      <xdr:blipFill>
        <a:blip r:embed="rId585"/>
        <a:stretch>
          <a:fillRect/>
        </a:stretch>
      </xdr:blipFill>
      <xdr:spPr>
        <a:xfrm>
          <a:off x="14921865" y="67431920"/>
          <a:ext cx="6981825" cy="3067050"/>
        </a:xfrm>
        <a:prstGeom prst="rect">
          <a:avLst/>
        </a:prstGeom>
        <a:noFill/>
        <a:ln w="9525">
          <a:noFill/>
        </a:ln>
      </xdr:spPr>
    </xdr:pic>
    <xdr:clientData/>
  </xdr:twoCellAnchor>
  <xdr:twoCellAnchor editAs="oneCell">
    <xdr:from>
      <xdr:col>0</xdr:col>
      <xdr:colOff>0</xdr:colOff>
      <xdr:row>0</xdr:row>
      <xdr:rowOff>0</xdr:rowOff>
    </xdr:from>
    <xdr:to>
      <xdr:col>11</xdr:col>
      <xdr:colOff>85725</xdr:colOff>
      <xdr:row>16</xdr:row>
      <xdr:rowOff>133350</xdr:rowOff>
    </xdr:to>
    <xdr:pic>
      <xdr:nvPicPr>
        <xdr:cNvPr id="983" name="ID_B9BACA700D574C69BCF17F82BB521D4D"/>
        <xdr:cNvPicPr>
          <a:picLocks noChangeAspect="1"/>
        </xdr:cNvPicPr>
      </xdr:nvPicPr>
      <xdr:blipFill>
        <a:blip r:embed="rId586"/>
        <a:stretch>
          <a:fillRect/>
        </a:stretch>
      </xdr:blipFill>
      <xdr:spPr>
        <a:xfrm>
          <a:off x="14921865" y="28665170"/>
          <a:ext cx="7629525" cy="3028950"/>
        </a:xfrm>
        <a:prstGeom prst="rect">
          <a:avLst/>
        </a:prstGeom>
        <a:noFill/>
        <a:ln w="9525">
          <a:noFill/>
        </a:ln>
      </xdr:spPr>
    </xdr:pic>
    <xdr:clientData/>
  </xdr:twoCellAnchor>
  <xdr:twoCellAnchor editAs="oneCell">
    <xdr:from>
      <xdr:col>0</xdr:col>
      <xdr:colOff>0</xdr:colOff>
      <xdr:row>0</xdr:row>
      <xdr:rowOff>0</xdr:rowOff>
    </xdr:from>
    <xdr:to>
      <xdr:col>12</xdr:col>
      <xdr:colOff>0</xdr:colOff>
      <xdr:row>17</xdr:row>
      <xdr:rowOff>19050</xdr:rowOff>
    </xdr:to>
    <xdr:pic>
      <xdr:nvPicPr>
        <xdr:cNvPr id="984" name="ID_2E4B23C6DD0345EC9BE94DDC4748435C"/>
        <xdr:cNvPicPr>
          <a:picLocks noChangeAspect="1"/>
        </xdr:cNvPicPr>
      </xdr:nvPicPr>
      <xdr:blipFill>
        <a:blip r:embed="rId587"/>
        <a:stretch>
          <a:fillRect/>
        </a:stretch>
      </xdr:blipFill>
      <xdr:spPr>
        <a:xfrm>
          <a:off x="14921865" y="29503370"/>
          <a:ext cx="8229600" cy="3095625"/>
        </a:xfrm>
        <a:prstGeom prst="rect">
          <a:avLst/>
        </a:prstGeom>
        <a:noFill/>
        <a:ln w="9525">
          <a:noFill/>
        </a:ln>
      </xdr:spPr>
    </xdr:pic>
    <xdr:clientData/>
  </xdr:twoCellAnchor>
  <xdr:twoCellAnchor editAs="oneCell">
    <xdr:from>
      <xdr:col>0</xdr:col>
      <xdr:colOff>0</xdr:colOff>
      <xdr:row>0</xdr:row>
      <xdr:rowOff>0</xdr:rowOff>
    </xdr:from>
    <xdr:to>
      <xdr:col>12</xdr:col>
      <xdr:colOff>28575</xdr:colOff>
      <xdr:row>16</xdr:row>
      <xdr:rowOff>161925</xdr:rowOff>
    </xdr:to>
    <xdr:pic>
      <xdr:nvPicPr>
        <xdr:cNvPr id="985" name="ID_0204B0C3CA5D4E52BB9FD79C9412B534"/>
        <xdr:cNvPicPr>
          <a:picLocks noChangeAspect="1"/>
        </xdr:cNvPicPr>
      </xdr:nvPicPr>
      <xdr:blipFill>
        <a:blip r:embed="rId588"/>
        <a:stretch>
          <a:fillRect/>
        </a:stretch>
      </xdr:blipFill>
      <xdr:spPr>
        <a:xfrm>
          <a:off x="14921865" y="29922470"/>
          <a:ext cx="8258175" cy="3057525"/>
        </a:xfrm>
        <a:prstGeom prst="rect">
          <a:avLst/>
        </a:prstGeom>
        <a:noFill/>
        <a:ln w="9525">
          <a:noFill/>
        </a:ln>
      </xdr:spPr>
    </xdr:pic>
    <xdr:clientData/>
  </xdr:twoCellAnchor>
  <xdr:twoCellAnchor editAs="oneCell">
    <xdr:from>
      <xdr:col>0</xdr:col>
      <xdr:colOff>0</xdr:colOff>
      <xdr:row>0</xdr:row>
      <xdr:rowOff>0</xdr:rowOff>
    </xdr:from>
    <xdr:to>
      <xdr:col>11</xdr:col>
      <xdr:colOff>514350</xdr:colOff>
      <xdr:row>17</xdr:row>
      <xdr:rowOff>19050</xdr:rowOff>
    </xdr:to>
    <xdr:pic>
      <xdr:nvPicPr>
        <xdr:cNvPr id="986" name="ID_8ABE13F4074A491390B66A6B79E68FD1"/>
        <xdr:cNvPicPr>
          <a:picLocks noChangeAspect="1"/>
        </xdr:cNvPicPr>
      </xdr:nvPicPr>
      <xdr:blipFill>
        <a:blip r:embed="rId589"/>
        <a:stretch>
          <a:fillRect/>
        </a:stretch>
      </xdr:blipFill>
      <xdr:spPr>
        <a:xfrm>
          <a:off x="14921865" y="77909420"/>
          <a:ext cx="8058150" cy="3095625"/>
        </a:xfrm>
        <a:prstGeom prst="rect">
          <a:avLst/>
        </a:prstGeom>
        <a:noFill/>
        <a:ln w="9525">
          <a:noFill/>
        </a:ln>
      </xdr:spPr>
    </xdr:pic>
    <xdr:clientData/>
  </xdr:twoCellAnchor>
  <xdr:twoCellAnchor editAs="oneCell">
    <xdr:from>
      <xdr:col>0</xdr:col>
      <xdr:colOff>0</xdr:colOff>
      <xdr:row>0</xdr:row>
      <xdr:rowOff>0</xdr:rowOff>
    </xdr:from>
    <xdr:to>
      <xdr:col>11</xdr:col>
      <xdr:colOff>428625</xdr:colOff>
      <xdr:row>17</xdr:row>
      <xdr:rowOff>57150</xdr:rowOff>
    </xdr:to>
    <xdr:pic>
      <xdr:nvPicPr>
        <xdr:cNvPr id="987" name="ID_B7D38D1EC9314A8B989A9C1F7302CBDC"/>
        <xdr:cNvPicPr>
          <a:picLocks noChangeAspect="1"/>
        </xdr:cNvPicPr>
      </xdr:nvPicPr>
      <xdr:blipFill>
        <a:blip r:embed="rId590"/>
        <a:stretch>
          <a:fillRect/>
        </a:stretch>
      </xdr:blipFill>
      <xdr:spPr>
        <a:xfrm>
          <a:off x="14921865" y="68270120"/>
          <a:ext cx="7972425" cy="3133725"/>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17</xdr:row>
      <xdr:rowOff>9525</xdr:rowOff>
    </xdr:to>
    <xdr:pic>
      <xdr:nvPicPr>
        <xdr:cNvPr id="988" name="ID_C58EAEB72F3848D5B10822829F4912EC"/>
        <xdr:cNvPicPr>
          <a:picLocks noChangeAspect="1"/>
        </xdr:cNvPicPr>
      </xdr:nvPicPr>
      <xdr:blipFill>
        <a:blip r:embed="rId591"/>
        <a:stretch>
          <a:fillRect/>
        </a:stretch>
      </xdr:blipFill>
      <xdr:spPr>
        <a:xfrm>
          <a:off x="14921865" y="58630820"/>
          <a:ext cx="7019925" cy="3086100"/>
        </a:xfrm>
        <a:prstGeom prst="rect">
          <a:avLst/>
        </a:prstGeom>
        <a:noFill/>
        <a:ln w="9525">
          <a:noFill/>
        </a:ln>
      </xdr:spPr>
    </xdr:pic>
    <xdr:clientData/>
  </xdr:twoCellAnchor>
  <xdr:twoCellAnchor editAs="oneCell">
    <xdr:from>
      <xdr:col>0</xdr:col>
      <xdr:colOff>0</xdr:colOff>
      <xdr:row>0</xdr:row>
      <xdr:rowOff>0</xdr:rowOff>
    </xdr:from>
    <xdr:to>
      <xdr:col>10</xdr:col>
      <xdr:colOff>114300</xdr:colOff>
      <xdr:row>9</xdr:row>
      <xdr:rowOff>38100</xdr:rowOff>
    </xdr:to>
    <xdr:pic>
      <xdr:nvPicPr>
        <xdr:cNvPr id="989" name="ID_A75552A983EE49C99E84BDE9611C5EB3"/>
        <xdr:cNvPicPr>
          <a:picLocks noChangeAspect="1"/>
        </xdr:cNvPicPr>
      </xdr:nvPicPr>
      <xdr:blipFill>
        <a:blip r:embed="rId592"/>
        <a:stretch>
          <a:fillRect/>
        </a:stretch>
      </xdr:blipFill>
      <xdr:spPr>
        <a:xfrm>
          <a:off x="14921865" y="49201070"/>
          <a:ext cx="6972300" cy="1666875"/>
        </a:xfrm>
        <a:prstGeom prst="rect">
          <a:avLst/>
        </a:prstGeom>
        <a:noFill/>
        <a:ln w="9525">
          <a:noFill/>
        </a:ln>
      </xdr:spPr>
    </xdr:pic>
    <xdr:clientData/>
  </xdr:twoCellAnchor>
  <xdr:twoCellAnchor editAs="oneCell">
    <xdr:from>
      <xdr:col>0</xdr:col>
      <xdr:colOff>0</xdr:colOff>
      <xdr:row>0</xdr:row>
      <xdr:rowOff>0</xdr:rowOff>
    </xdr:from>
    <xdr:to>
      <xdr:col>11</xdr:col>
      <xdr:colOff>666750</xdr:colOff>
      <xdr:row>12</xdr:row>
      <xdr:rowOff>95250</xdr:rowOff>
    </xdr:to>
    <xdr:pic>
      <xdr:nvPicPr>
        <xdr:cNvPr id="990" name="ID_41DE90CAAAB842E9BC35C7FC68D3A3C0"/>
        <xdr:cNvPicPr>
          <a:picLocks noChangeAspect="1"/>
        </xdr:cNvPicPr>
      </xdr:nvPicPr>
      <xdr:blipFill>
        <a:blip r:embed="rId593"/>
        <a:stretch>
          <a:fillRect/>
        </a:stretch>
      </xdr:blipFill>
      <xdr:spPr>
        <a:xfrm>
          <a:off x="14921865" y="30341570"/>
          <a:ext cx="8210550" cy="2266950"/>
        </a:xfrm>
        <a:prstGeom prst="rect">
          <a:avLst/>
        </a:prstGeom>
        <a:noFill/>
        <a:ln w="9525">
          <a:noFill/>
        </a:ln>
      </xdr:spPr>
    </xdr:pic>
    <xdr:clientData/>
  </xdr:twoCellAnchor>
  <xdr:twoCellAnchor editAs="oneCell">
    <xdr:from>
      <xdr:col>0</xdr:col>
      <xdr:colOff>0</xdr:colOff>
      <xdr:row>0</xdr:row>
      <xdr:rowOff>0</xdr:rowOff>
    </xdr:from>
    <xdr:to>
      <xdr:col>11</xdr:col>
      <xdr:colOff>19050</xdr:colOff>
      <xdr:row>9</xdr:row>
      <xdr:rowOff>161925</xdr:rowOff>
    </xdr:to>
    <xdr:pic>
      <xdr:nvPicPr>
        <xdr:cNvPr id="991" name="ID_847150DFAAA64C0BAD63B50273C393C9"/>
        <xdr:cNvPicPr>
          <a:picLocks noChangeAspect="1"/>
        </xdr:cNvPicPr>
      </xdr:nvPicPr>
      <xdr:blipFill>
        <a:blip r:embed="rId594"/>
        <a:stretch>
          <a:fillRect/>
        </a:stretch>
      </xdr:blipFill>
      <xdr:spPr>
        <a:xfrm>
          <a:off x="14921865" y="31598870"/>
          <a:ext cx="7562850" cy="1790700"/>
        </a:xfrm>
        <a:prstGeom prst="rect">
          <a:avLst/>
        </a:prstGeom>
        <a:noFill/>
        <a:ln w="9525">
          <a:noFill/>
        </a:ln>
      </xdr:spPr>
    </xdr:pic>
    <xdr:clientData/>
  </xdr:twoCellAnchor>
  <xdr:twoCellAnchor editAs="oneCell">
    <xdr:from>
      <xdr:col>0</xdr:col>
      <xdr:colOff>0</xdr:colOff>
      <xdr:row>0</xdr:row>
      <xdr:rowOff>0</xdr:rowOff>
    </xdr:from>
    <xdr:to>
      <xdr:col>11</xdr:col>
      <xdr:colOff>47625</xdr:colOff>
      <xdr:row>16</xdr:row>
      <xdr:rowOff>161925</xdr:rowOff>
    </xdr:to>
    <xdr:pic>
      <xdr:nvPicPr>
        <xdr:cNvPr id="992" name="ID_FF5D790D84414BDB8B55322F31D97E3C"/>
        <xdr:cNvPicPr>
          <a:picLocks noChangeAspect="1"/>
        </xdr:cNvPicPr>
      </xdr:nvPicPr>
      <xdr:blipFill>
        <a:blip r:embed="rId595"/>
        <a:stretch>
          <a:fillRect/>
        </a:stretch>
      </xdr:blipFill>
      <xdr:spPr>
        <a:xfrm>
          <a:off x="14921865" y="32856170"/>
          <a:ext cx="7591425" cy="3057525"/>
        </a:xfrm>
        <a:prstGeom prst="rect">
          <a:avLst/>
        </a:prstGeom>
        <a:noFill/>
        <a:ln w="9525">
          <a:noFill/>
        </a:ln>
      </xdr:spPr>
    </xdr:pic>
    <xdr:clientData/>
  </xdr:twoCellAnchor>
  <xdr:twoCellAnchor editAs="oneCell">
    <xdr:from>
      <xdr:col>0</xdr:col>
      <xdr:colOff>0</xdr:colOff>
      <xdr:row>0</xdr:row>
      <xdr:rowOff>0</xdr:rowOff>
    </xdr:from>
    <xdr:to>
      <xdr:col>11</xdr:col>
      <xdr:colOff>76200</xdr:colOff>
      <xdr:row>5</xdr:row>
      <xdr:rowOff>161925</xdr:rowOff>
    </xdr:to>
    <xdr:pic>
      <xdr:nvPicPr>
        <xdr:cNvPr id="993" name="ID_2126FF825EB54A5D8EDD8C52E2464AF9"/>
        <xdr:cNvPicPr>
          <a:picLocks noChangeAspect="1"/>
        </xdr:cNvPicPr>
      </xdr:nvPicPr>
      <xdr:blipFill>
        <a:blip r:embed="rId596"/>
        <a:stretch>
          <a:fillRect/>
        </a:stretch>
      </xdr:blipFill>
      <xdr:spPr>
        <a:xfrm>
          <a:off x="14921865" y="33275270"/>
          <a:ext cx="7620000" cy="1066800"/>
        </a:xfrm>
        <a:prstGeom prst="rect">
          <a:avLst/>
        </a:prstGeom>
        <a:noFill/>
        <a:ln w="9525">
          <a:noFill/>
        </a:ln>
      </xdr:spPr>
    </xdr:pic>
    <xdr:clientData/>
  </xdr:twoCellAnchor>
  <xdr:twoCellAnchor editAs="oneCell">
    <xdr:from>
      <xdr:col>0</xdr:col>
      <xdr:colOff>0</xdr:colOff>
      <xdr:row>0</xdr:row>
      <xdr:rowOff>0</xdr:rowOff>
    </xdr:from>
    <xdr:to>
      <xdr:col>12</xdr:col>
      <xdr:colOff>57150</xdr:colOff>
      <xdr:row>17</xdr:row>
      <xdr:rowOff>28575</xdr:rowOff>
    </xdr:to>
    <xdr:pic>
      <xdr:nvPicPr>
        <xdr:cNvPr id="994" name="ID_5CDABD13B7DF41B99CD363E37E515357"/>
        <xdr:cNvPicPr>
          <a:picLocks noChangeAspect="1"/>
        </xdr:cNvPicPr>
      </xdr:nvPicPr>
      <xdr:blipFill>
        <a:blip r:embed="rId597"/>
        <a:stretch>
          <a:fillRect/>
        </a:stretch>
      </xdr:blipFill>
      <xdr:spPr>
        <a:xfrm>
          <a:off x="14921865" y="34113470"/>
          <a:ext cx="8286750" cy="3105150"/>
        </a:xfrm>
        <a:prstGeom prst="rect">
          <a:avLst/>
        </a:prstGeom>
        <a:noFill/>
        <a:ln w="9525">
          <a:noFill/>
        </a:ln>
      </xdr:spPr>
    </xdr:pic>
    <xdr:clientData/>
  </xdr:twoCellAnchor>
  <xdr:twoCellAnchor editAs="oneCell">
    <xdr:from>
      <xdr:col>0</xdr:col>
      <xdr:colOff>0</xdr:colOff>
      <xdr:row>0</xdr:row>
      <xdr:rowOff>0</xdr:rowOff>
    </xdr:from>
    <xdr:to>
      <xdr:col>10</xdr:col>
      <xdr:colOff>647700</xdr:colOff>
      <xdr:row>10</xdr:row>
      <xdr:rowOff>38100</xdr:rowOff>
    </xdr:to>
    <xdr:pic>
      <xdr:nvPicPr>
        <xdr:cNvPr id="995" name="ID_DEB95CA0C61C4255B2571B83D80D935D"/>
        <xdr:cNvPicPr>
          <a:picLocks noChangeAspect="1"/>
        </xdr:cNvPicPr>
      </xdr:nvPicPr>
      <xdr:blipFill>
        <a:blip r:embed="rId598"/>
        <a:stretch>
          <a:fillRect/>
        </a:stretch>
      </xdr:blipFill>
      <xdr:spPr>
        <a:xfrm>
          <a:off x="14921865" y="34951670"/>
          <a:ext cx="7505700" cy="1847850"/>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16</xdr:row>
      <xdr:rowOff>161925</xdr:rowOff>
    </xdr:to>
    <xdr:pic>
      <xdr:nvPicPr>
        <xdr:cNvPr id="996" name="ID_58DD6F7B7E704582ABDF14A88837D183"/>
        <xdr:cNvPicPr>
          <a:picLocks noChangeAspect="1"/>
        </xdr:cNvPicPr>
      </xdr:nvPicPr>
      <xdr:blipFill>
        <a:blip r:embed="rId599"/>
        <a:stretch>
          <a:fillRect/>
        </a:stretch>
      </xdr:blipFill>
      <xdr:spPr>
        <a:xfrm>
          <a:off x="14921865" y="35370770"/>
          <a:ext cx="7467600" cy="3057525"/>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16</xdr:row>
      <xdr:rowOff>133350</xdr:rowOff>
    </xdr:to>
    <xdr:pic>
      <xdr:nvPicPr>
        <xdr:cNvPr id="997" name="ID_07B539EB93A54441BFF643380CD670CB"/>
        <xdr:cNvPicPr>
          <a:picLocks noChangeAspect="1"/>
        </xdr:cNvPicPr>
      </xdr:nvPicPr>
      <xdr:blipFill>
        <a:blip r:embed="rId600"/>
        <a:stretch>
          <a:fillRect/>
        </a:stretch>
      </xdr:blipFill>
      <xdr:spPr>
        <a:xfrm>
          <a:off x="14921865" y="35789870"/>
          <a:ext cx="7467600" cy="3028950"/>
        </a:xfrm>
        <a:prstGeom prst="rect">
          <a:avLst/>
        </a:prstGeom>
        <a:noFill/>
        <a:ln w="9525">
          <a:noFill/>
        </a:ln>
      </xdr:spPr>
    </xdr:pic>
    <xdr:clientData/>
  </xdr:twoCellAnchor>
  <xdr:twoCellAnchor editAs="oneCell">
    <xdr:from>
      <xdr:col>0</xdr:col>
      <xdr:colOff>0</xdr:colOff>
      <xdr:row>0</xdr:row>
      <xdr:rowOff>0</xdr:rowOff>
    </xdr:from>
    <xdr:to>
      <xdr:col>11</xdr:col>
      <xdr:colOff>352425</xdr:colOff>
      <xdr:row>16</xdr:row>
      <xdr:rowOff>152400</xdr:rowOff>
    </xdr:to>
    <xdr:pic>
      <xdr:nvPicPr>
        <xdr:cNvPr id="998" name="ID_00722BC713DC4CDA9440407CDC032333"/>
        <xdr:cNvPicPr>
          <a:picLocks noChangeAspect="1"/>
        </xdr:cNvPicPr>
      </xdr:nvPicPr>
      <xdr:blipFill>
        <a:blip r:embed="rId601"/>
        <a:stretch>
          <a:fillRect/>
        </a:stretch>
      </xdr:blipFill>
      <xdr:spPr>
        <a:xfrm>
          <a:off x="14921865" y="36628070"/>
          <a:ext cx="7896225" cy="3048000"/>
        </a:xfrm>
        <a:prstGeom prst="rect">
          <a:avLst/>
        </a:prstGeom>
        <a:noFill/>
        <a:ln w="9525">
          <a:noFill/>
        </a:ln>
      </xdr:spPr>
    </xdr:pic>
    <xdr:clientData/>
  </xdr:twoCellAnchor>
  <xdr:twoCellAnchor editAs="oneCell">
    <xdr:from>
      <xdr:col>0</xdr:col>
      <xdr:colOff>0</xdr:colOff>
      <xdr:row>0</xdr:row>
      <xdr:rowOff>0</xdr:rowOff>
    </xdr:from>
    <xdr:to>
      <xdr:col>13</xdr:col>
      <xdr:colOff>19050</xdr:colOff>
      <xdr:row>18</xdr:row>
      <xdr:rowOff>57150</xdr:rowOff>
    </xdr:to>
    <xdr:pic>
      <xdr:nvPicPr>
        <xdr:cNvPr id="999" name="ID_851D484D7D9A46A5912AA03F871CDFA8"/>
        <xdr:cNvPicPr>
          <a:picLocks noChangeAspect="1"/>
        </xdr:cNvPicPr>
      </xdr:nvPicPr>
      <xdr:blipFill>
        <a:blip r:embed="rId602"/>
        <a:stretch>
          <a:fillRect/>
        </a:stretch>
      </xdr:blipFill>
      <xdr:spPr>
        <a:xfrm>
          <a:off x="14921865" y="38304470"/>
          <a:ext cx="8934450" cy="3314700"/>
        </a:xfrm>
        <a:prstGeom prst="rect">
          <a:avLst/>
        </a:prstGeom>
        <a:noFill/>
        <a:ln w="9525">
          <a:noFill/>
        </a:ln>
      </xdr:spPr>
    </xdr:pic>
    <xdr:clientData/>
  </xdr:twoCellAnchor>
  <xdr:twoCellAnchor editAs="oneCell">
    <xdr:from>
      <xdr:col>0</xdr:col>
      <xdr:colOff>0</xdr:colOff>
      <xdr:row>0</xdr:row>
      <xdr:rowOff>0</xdr:rowOff>
    </xdr:from>
    <xdr:to>
      <xdr:col>10</xdr:col>
      <xdr:colOff>133350</xdr:colOff>
      <xdr:row>16</xdr:row>
      <xdr:rowOff>123825</xdr:rowOff>
    </xdr:to>
    <xdr:pic>
      <xdr:nvPicPr>
        <xdr:cNvPr id="1000" name="ID_67339BE842C94419B64053DCF9D0C67E"/>
        <xdr:cNvPicPr>
          <a:picLocks noChangeAspect="1"/>
        </xdr:cNvPicPr>
      </xdr:nvPicPr>
      <xdr:blipFill>
        <a:blip r:embed="rId603"/>
        <a:stretch>
          <a:fillRect/>
        </a:stretch>
      </xdr:blipFill>
      <xdr:spPr>
        <a:xfrm>
          <a:off x="14921865" y="39561770"/>
          <a:ext cx="6991350" cy="3019425"/>
        </a:xfrm>
        <a:prstGeom prst="rect">
          <a:avLst/>
        </a:prstGeom>
        <a:noFill/>
        <a:ln w="9525">
          <a:noFill/>
        </a:ln>
      </xdr:spPr>
    </xdr:pic>
    <xdr:clientData/>
  </xdr:twoCellAnchor>
  <xdr:twoCellAnchor editAs="oneCell">
    <xdr:from>
      <xdr:col>0</xdr:col>
      <xdr:colOff>0</xdr:colOff>
      <xdr:row>0</xdr:row>
      <xdr:rowOff>0</xdr:rowOff>
    </xdr:from>
    <xdr:to>
      <xdr:col>10</xdr:col>
      <xdr:colOff>190500</xdr:colOff>
      <xdr:row>5</xdr:row>
      <xdr:rowOff>152400</xdr:rowOff>
    </xdr:to>
    <xdr:pic>
      <xdr:nvPicPr>
        <xdr:cNvPr id="1001" name="ID_C66448048ED54B699CCE771FB4E3A92D"/>
        <xdr:cNvPicPr>
          <a:picLocks noChangeAspect="1"/>
        </xdr:cNvPicPr>
      </xdr:nvPicPr>
      <xdr:blipFill>
        <a:blip r:embed="rId604"/>
        <a:stretch>
          <a:fillRect/>
        </a:stretch>
      </xdr:blipFill>
      <xdr:spPr>
        <a:xfrm>
          <a:off x="14921865" y="39980870"/>
          <a:ext cx="7048500" cy="1057275"/>
        </a:xfrm>
        <a:prstGeom prst="rect">
          <a:avLst/>
        </a:prstGeom>
        <a:noFill/>
        <a:ln w="9525">
          <a:noFill/>
        </a:ln>
      </xdr:spPr>
    </xdr:pic>
    <xdr:clientData/>
  </xdr:twoCellAnchor>
  <xdr:twoCellAnchor editAs="oneCell">
    <xdr:from>
      <xdr:col>0</xdr:col>
      <xdr:colOff>0</xdr:colOff>
      <xdr:row>0</xdr:row>
      <xdr:rowOff>0</xdr:rowOff>
    </xdr:from>
    <xdr:to>
      <xdr:col>10</xdr:col>
      <xdr:colOff>104775</xdr:colOff>
      <xdr:row>6</xdr:row>
      <xdr:rowOff>142875</xdr:rowOff>
    </xdr:to>
    <xdr:pic>
      <xdr:nvPicPr>
        <xdr:cNvPr id="1002" name="ID_DA06930E626A4AA69FA580BACB6A0D39"/>
        <xdr:cNvPicPr>
          <a:picLocks noChangeAspect="1"/>
        </xdr:cNvPicPr>
      </xdr:nvPicPr>
      <xdr:blipFill>
        <a:blip r:embed="rId605"/>
        <a:stretch>
          <a:fillRect/>
        </a:stretch>
      </xdr:blipFill>
      <xdr:spPr>
        <a:xfrm>
          <a:off x="14921865" y="40819070"/>
          <a:ext cx="6962775" cy="1228725"/>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16</xdr:row>
      <xdr:rowOff>123825</xdr:rowOff>
    </xdr:to>
    <xdr:pic>
      <xdr:nvPicPr>
        <xdr:cNvPr id="1003" name="ID_3763FE47431B41B6BC5D7EAD6D672D91"/>
        <xdr:cNvPicPr>
          <a:picLocks noChangeAspect="1"/>
        </xdr:cNvPicPr>
      </xdr:nvPicPr>
      <xdr:blipFill>
        <a:blip r:embed="rId606"/>
        <a:stretch>
          <a:fillRect/>
        </a:stretch>
      </xdr:blipFill>
      <xdr:spPr>
        <a:xfrm>
          <a:off x="14921865" y="51296570"/>
          <a:ext cx="7467600" cy="3019425"/>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17</xdr:row>
      <xdr:rowOff>9525</xdr:rowOff>
    </xdr:to>
    <xdr:pic>
      <xdr:nvPicPr>
        <xdr:cNvPr id="1004" name="ID_BC914FB4A12943A6A6D5B82CA0557288"/>
        <xdr:cNvPicPr>
          <a:picLocks noChangeAspect="1"/>
        </xdr:cNvPicPr>
      </xdr:nvPicPr>
      <xdr:blipFill>
        <a:blip r:embed="rId607"/>
        <a:stretch>
          <a:fillRect/>
        </a:stretch>
      </xdr:blipFill>
      <xdr:spPr>
        <a:xfrm>
          <a:off x="14921865" y="41657270"/>
          <a:ext cx="7467600" cy="3086100"/>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5</xdr:row>
      <xdr:rowOff>123825</xdr:rowOff>
    </xdr:to>
    <xdr:pic>
      <xdr:nvPicPr>
        <xdr:cNvPr id="1005" name="ID_A5D61572675B47328DA0C961FAA062D3"/>
        <xdr:cNvPicPr>
          <a:picLocks noChangeAspect="1"/>
        </xdr:cNvPicPr>
      </xdr:nvPicPr>
      <xdr:blipFill>
        <a:blip r:embed="rId608"/>
        <a:stretch>
          <a:fillRect/>
        </a:stretch>
      </xdr:blipFill>
      <xdr:spPr>
        <a:xfrm>
          <a:off x="14921865" y="42076370"/>
          <a:ext cx="7486650" cy="1028700"/>
        </a:xfrm>
        <a:prstGeom prst="rect">
          <a:avLst/>
        </a:prstGeom>
        <a:noFill/>
        <a:ln w="9525">
          <a:noFill/>
        </a:ln>
      </xdr:spPr>
    </xdr:pic>
    <xdr:clientData/>
  </xdr:twoCellAnchor>
  <xdr:twoCellAnchor editAs="oneCell">
    <xdr:from>
      <xdr:col>0</xdr:col>
      <xdr:colOff>0</xdr:colOff>
      <xdr:row>0</xdr:row>
      <xdr:rowOff>0</xdr:rowOff>
    </xdr:from>
    <xdr:to>
      <xdr:col>10</xdr:col>
      <xdr:colOff>666750</xdr:colOff>
      <xdr:row>17</xdr:row>
      <xdr:rowOff>95250</xdr:rowOff>
    </xdr:to>
    <xdr:pic>
      <xdr:nvPicPr>
        <xdr:cNvPr id="1006" name="ID_5DF246C1A8E4403C8EFF5CA51AC92872"/>
        <xdr:cNvPicPr>
          <a:picLocks noChangeAspect="1"/>
        </xdr:cNvPicPr>
      </xdr:nvPicPr>
      <xdr:blipFill>
        <a:blip r:embed="rId609"/>
        <a:stretch>
          <a:fillRect/>
        </a:stretch>
      </xdr:blipFill>
      <xdr:spPr>
        <a:xfrm>
          <a:off x="14921865" y="71203820"/>
          <a:ext cx="7524750" cy="3171825"/>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17</xdr:row>
      <xdr:rowOff>38100</xdr:rowOff>
    </xdr:to>
    <xdr:pic>
      <xdr:nvPicPr>
        <xdr:cNvPr id="1007" name="ID_2BBB982F02AE46308195DEC9DC4CE0F3"/>
        <xdr:cNvPicPr>
          <a:picLocks noChangeAspect="1"/>
        </xdr:cNvPicPr>
      </xdr:nvPicPr>
      <xdr:blipFill>
        <a:blip r:embed="rId610"/>
        <a:stretch>
          <a:fillRect/>
        </a:stretch>
      </xdr:blipFill>
      <xdr:spPr>
        <a:xfrm>
          <a:off x="14921865" y="61564520"/>
          <a:ext cx="7467600" cy="3114675"/>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16</xdr:row>
      <xdr:rowOff>123825</xdr:rowOff>
    </xdr:to>
    <xdr:pic>
      <xdr:nvPicPr>
        <xdr:cNvPr id="1008" name="ID_3A28D8030FF246AC9B105D695DBEADD3"/>
        <xdr:cNvPicPr>
          <a:picLocks noChangeAspect="1"/>
        </xdr:cNvPicPr>
      </xdr:nvPicPr>
      <xdr:blipFill>
        <a:blip r:embed="rId611"/>
        <a:stretch>
          <a:fillRect/>
        </a:stretch>
      </xdr:blipFill>
      <xdr:spPr>
        <a:xfrm>
          <a:off x="14921865" y="52134770"/>
          <a:ext cx="7448550" cy="3019425"/>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16</xdr:row>
      <xdr:rowOff>142875</xdr:rowOff>
    </xdr:to>
    <xdr:pic>
      <xdr:nvPicPr>
        <xdr:cNvPr id="1009" name="ID_7AAB8FD3C19D4864852D97FC07FF2856"/>
        <xdr:cNvPicPr>
          <a:picLocks noChangeAspect="1"/>
        </xdr:cNvPicPr>
      </xdr:nvPicPr>
      <xdr:blipFill>
        <a:blip r:embed="rId612"/>
        <a:stretch>
          <a:fillRect/>
        </a:stretch>
      </xdr:blipFill>
      <xdr:spPr>
        <a:xfrm>
          <a:off x="14921865" y="42495470"/>
          <a:ext cx="6981825" cy="3038475"/>
        </a:xfrm>
        <a:prstGeom prst="rect">
          <a:avLst/>
        </a:prstGeom>
        <a:noFill/>
        <a:ln w="9525">
          <a:noFill/>
        </a:ln>
      </xdr:spPr>
    </xdr:pic>
    <xdr:clientData/>
  </xdr:twoCellAnchor>
  <xdr:twoCellAnchor editAs="oneCell">
    <xdr:from>
      <xdr:col>0</xdr:col>
      <xdr:colOff>0</xdr:colOff>
      <xdr:row>0</xdr:row>
      <xdr:rowOff>0</xdr:rowOff>
    </xdr:from>
    <xdr:to>
      <xdr:col>10</xdr:col>
      <xdr:colOff>95250</xdr:colOff>
      <xdr:row>16</xdr:row>
      <xdr:rowOff>171450</xdr:rowOff>
    </xdr:to>
    <xdr:pic>
      <xdr:nvPicPr>
        <xdr:cNvPr id="1010" name="ID_497AAC936DEC4BCA81D6D9386CB165A4"/>
        <xdr:cNvPicPr>
          <a:picLocks noChangeAspect="1"/>
        </xdr:cNvPicPr>
      </xdr:nvPicPr>
      <xdr:blipFill>
        <a:blip r:embed="rId613"/>
        <a:stretch>
          <a:fillRect/>
        </a:stretch>
      </xdr:blipFill>
      <xdr:spPr>
        <a:xfrm>
          <a:off x="14921865" y="42914570"/>
          <a:ext cx="6953250" cy="3067050"/>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16</xdr:row>
      <xdr:rowOff>171450</xdr:rowOff>
    </xdr:to>
    <xdr:pic>
      <xdr:nvPicPr>
        <xdr:cNvPr id="1011" name="ID_DBD79B15B01F4B749D20EBCC35A7E141"/>
        <xdr:cNvPicPr>
          <a:picLocks noChangeAspect="1"/>
        </xdr:cNvPicPr>
      </xdr:nvPicPr>
      <xdr:blipFill>
        <a:blip r:embed="rId614"/>
        <a:stretch>
          <a:fillRect/>
        </a:stretch>
      </xdr:blipFill>
      <xdr:spPr>
        <a:xfrm>
          <a:off x="14921865" y="43333670"/>
          <a:ext cx="7448550" cy="3067050"/>
        </a:xfrm>
        <a:prstGeom prst="rect">
          <a:avLst/>
        </a:prstGeom>
        <a:noFill/>
        <a:ln w="9525">
          <a:noFill/>
        </a:ln>
      </xdr:spPr>
    </xdr:pic>
    <xdr:clientData/>
  </xdr:twoCellAnchor>
  <xdr:twoCellAnchor editAs="oneCell">
    <xdr:from>
      <xdr:col>0</xdr:col>
      <xdr:colOff>0</xdr:colOff>
      <xdr:row>0</xdr:row>
      <xdr:rowOff>0</xdr:rowOff>
    </xdr:from>
    <xdr:to>
      <xdr:col>11</xdr:col>
      <xdr:colOff>419100</xdr:colOff>
      <xdr:row>10</xdr:row>
      <xdr:rowOff>66675</xdr:rowOff>
    </xdr:to>
    <xdr:pic>
      <xdr:nvPicPr>
        <xdr:cNvPr id="1012" name="ID_788C886BF01D4B00B3253F77B99C3D99"/>
        <xdr:cNvPicPr>
          <a:picLocks noChangeAspect="1"/>
        </xdr:cNvPicPr>
      </xdr:nvPicPr>
      <xdr:blipFill>
        <a:blip r:embed="rId615"/>
        <a:stretch>
          <a:fillRect/>
        </a:stretch>
      </xdr:blipFill>
      <xdr:spPr>
        <a:xfrm>
          <a:off x="14921865" y="82100420"/>
          <a:ext cx="7962900" cy="1876425"/>
        </a:xfrm>
        <a:prstGeom prst="rect">
          <a:avLst/>
        </a:prstGeom>
        <a:noFill/>
        <a:ln w="9525">
          <a:noFill/>
        </a:ln>
      </xdr:spPr>
    </xdr:pic>
    <xdr:clientData/>
  </xdr:twoCellAnchor>
  <xdr:twoCellAnchor editAs="oneCell">
    <xdr:from>
      <xdr:col>0</xdr:col>
      <xdr:colOff>0</xdr:colOff>
      <xdr:row>0</xdr:row>
      <xdr:rowOff>0</xdr:rowOff>
    </xdr:from>
    <xdr:to>
      <xdr:col>10</xdr:col>
      <xdr:colOff>676275</xdr:colOff>
      <xdr:row>7</xdr:row>
      <xdr:rowOff>57150</xdr:rowOff>
    </xdr:to>
    <xdr:pic>
      <xdr:nvPicPr>
        <xdr:cNvPr id="1013" name="ID_F72D8ED31FFE4F0586F7E6932DDE7358"/>
        <xdr:cNvPicPr>
          <a:picLocks noChangeAspect="1"/>
        </xdr:cNvPicPr>
      </xdr:nvPicPr>
      <xdr:blipFill>
        <a:blip r:embed="rId616"/>
        <a:stretch>
          <a:fillRect/>
        </a:stretch>
      </xdr:blipFill>
      <xdr:spPr>
        <a:xfrm>
          <a:off x="14921865" y="62821820"/>
          <a:ext cx="7534275" cy="1323975"/>
        </a:xfrm>
        <a:prstGeom prst="rect">
          <a:avLst/>
        </a:prstGeom>
        <a:noFill/>
        <a:ln w="9525">
          <a:noFill/>
        </a:ln>
      </xdr:spPr>
    </xdr:pic>
    <xdr:clientData/>
  </xdr:twoCellAnchor>
  <xdr:twoCellAnchor editAs="oneCell">
    <xdr:from>
      <xdr:col>0</xdr:col>
      <xdr:colOff>0</xdr:colOff>
      <xdr:row>0</xdr:row>
      <xdr:rowOff>0</xdr:rowOff>
    </xdr:from>
    <xdr:to>
      <xdr:col>10</xdr:col>
      <xdr:colOff>561975</xdr:colOff>
      <xdr:row>17</xdr:row>
      <xdr:rowOff>0</xdr:rowOff>
    </xdr:to>
    <xdr:pic>
      <xdr:nvPicPr>
        <xdr:cNvPr id="1014" name="ID_7792912F3CB342EC8E26562BEFDAD387"/>
        <xdr:cNvPicPr>
          <a:picLocks noChangeAspect="1"/>
        </xdr:cNvPicPr>
      </xdr:nvPicPr>
      <xdr:blipFill>
        <a:blip r:embed="rId617"/>
        <a:stretch>
          <a:fillRect/>
        </a:stretch>
      </xdr:blipFill>
      <xdr:spPr>
        <a:xfrm>
          <a:off x="14921865" y="43752770"/>
          <a:ext cx="7419975" cy="3076575"/>
        </a:xfrm>
        <a:prstGeom prst="rect">
          <a:avLst/>
        </a:prstGeom>
        <a:noFill/>
        <a:ln w="9525">
          <a:noFill/>
        </a:ln>
      </xdr:spPr>
    </xdr:pic>
    <xdr:clientData/>
  </xdr:twoCellAnchor>
  <xdr:twoCellAnchor editAs="oneCell">
    <xdr:from>
      <xdr:col>0</xdr:col>
      <xdr:colOff>0</xdr:colOff>
      <xdr:row>0</xdr:row>
      <xdr:rowOff>0</xdr:rowOff>
    </xdr:from>
    <xdr:to>
      <xdr:col>10</xdr:col>
      <xdr:colOff>619125</xdr:colOff>
      <xdr:row>16</xdr:row>
      <xdr:rowOff>161925</xdr:rowOff>
    </xdr:to>
    <xdr:pic>
      <xdr:nvPicPr>
        <xdr:cNvPr id="1015" name="ID_D3CAE950A087428B92D9CD277402DF2C"/>
        <xdr:cNvPicPr>
          <a:picLocks noChangeAspect="1"/>
        </xdr:cNvPicPr>
      </xdr:nvPicPr>
      <xdr:blipFill>
        <a:blip r:embed="rId618"/>
        <a:stretch>
          <a:fillRect/>
        </a:stretch>
      </xdr:blipFill>
      <xdr:spPr>
        <a:xfrm>
          <a:off x="14921865" y="63240920"/>
          <a:ext cx="7477125" cy="3057525"/>
        </a:xfrm>
        <a:prstGeom prst="rect">
          <a:avLst/>
        </a:prstGeom>
        <a:noFill/>
        <a:ln w="9525">
          <a:noFill/>
        </a:ln>
      </xdr:spPr>
    </xdr:pic>
    <xdr:clientData/>
  </xdr:twoCellAnchor>
  <xdr:twoCellAnchor editAs="oneCell">
    <xdr:from>
      <xdr:col>0</xdr:col>
      <xdr:colOff>0</xdr:colOff>
      <xdr:row>0</xdr:row>
      <xdr:rowOff>0</xdr:rowOff>
    </xdr:from>
    <xdr:to>
      <xdr:col>11</xdr:col>
      <xdr:colOff>0</xdr:colOff>
      <xdr:row>17</xdr:row>
      <xdr:rowOff>47625</xdr:rowOff>
    </xdr:to>
    <xdr:pic>
      <xdr:nvPicPr>
        <xdr:cNvPr id="1016" name="ID_F136662883214EEB9E0BEC315D108E6C"/>
        <xdr:cNvPicPr>
          <a:picLocks noChangeAspect="1"/>
        </xdr:cNvPicPr>
      </xdr:nvPicPr>
      <xdr:blipFill>
        <a:blip r:embed="rId619"/>
        <a:stretch>
          <a:fillRect/>
        </a:stretch>
      </xdr:blipFill>
      <xdr:spPr>
        <a:xfrm>
          <a:off x="14921865" y="53601620"/>
          <a:ext cx="7543800" cy="3124200"/>
        </a:xfrm>
        <a:prstGeom prst="rect">
          <a:avLst/>
        </a:prstGeom>
        <a:noFill/>
        <a:ln w="9525">
          <a:noFill/>
        </a:ln>
      </xdr:spPr>
    </xdr:pic>
    <xdr:clientData/>
  </xdr:twoCellAnchor>
  <xdr:twoCellAnchor editAs="oneCell">
    <xdr:from>
      <xdr:col>0</xdr:col>
      <xdr:colOff>0</xdr:colOff>
      <xdr:row>0</xdr:row>
      <xdr:rowOff>0</xdr:rowOff>
    </xdr:from>
    <xdr:to>
      <xdr:col>10</xdr:col>
      <xdr:colOff>619125</xdr:colOff>
      <xdr:row>7</xdr:row>
      <xdr:rowOff>0</xdr:rowOff>
    </xdr:to>
    <xdr:pic>
      <xdr:nvPicPr>
        <xdr:cNvPr id="1017" name="ID_66010C6139BE48FCA3FA318013E8C80F"/>
        <xdr:cNvPicPr>
          <a:picLocks noChangeAspect="1"/>
        </xdr:cNvPicPr>
      </xdr:nvPicPr>
      <xdr:blipFill>
        <a:blip r:embed="rId620"/>
        <a:stretch>
          <a:fillRect/>
        </a:stretch>
      </xdr:blipFill>
      <xdr:spPr>
        <a:xfrm>
          <a:off x="14921865" y="44171870"/>
          <a:ext cx="7477125" cy="1266825"/>
        </a:xfrm>
        <a:prstGeom prst="rect">
          <a:avLst/>
        </a:prstGeom>
        <a:noFill/>
        <a:ln w="9525">
          <a:noFill/>
        </a:ln>
      </xdr:spPr>
    </xdr:pic>
    <xdr:clientData/>
  </xdr:twoCellAnchor>
  <xdr:twoCellAnchor editAs="oneCell">
    <xdr:from>
      <xdr:col>0</xdr:col>
      <xdr:colOff>0</xdr:colOff>
      <xdr:row>0</xdr:row>
      <xdr:rowOff>0</xdr:rowOff>
    </xdr:from>
    <xdr:to>
      <xdr:col>10</xdr:col>
      <xdr:colOff>657225</xdr:colOff>
      <xdr:row>16</xdr:row>
      <xdr:rowOff>123825</xdr:rowOff>
    </xdr:to>
    <xdr:pic>
      <xdr:nvPicPr>
        <xdr:cNvPr id="1018" name="ID_AE01477AB0B349988EC39A9606733738"/>
        <xdr:cNvPicPr>
          <a:picLocks noChangeAspect="1"/>
        </xdr:cNvPicPr>
      </xdr:nvPicPr>
      <xdr:blipFill>
        <a:blip r:embed="rId621"/>
        <a:stretch>
          <a:fillRect/>
        </a:stretch>
      </xdr:blipFill>
      <xdr:spPr>
        <a:xfrm>
          <a:off x="14921865" y="54439820"/>
          <a:ext cx="7515225" cy="3019425"/>
        </a:xfrm>
        <a:prstGeom prst="rect">
          <a:avLst/>
        </a:prstGeom>
        <a:noFill/>
        <a:ln w="9525">
          <a:noFill/>
        </a:ln>
      </xdr:spPr>
    </xdr:pic>
    <xdr:clientData/>
  </xdr:twoCellAnchor>
  <xdr:twoCellAnchor editAs="oneCell">
    <xdr:from>
      <xdr:col>0</xdr:col>
      <xdr:colOff>0</xdr:colOff>
      <xdr:row>0</xdr:row>
      <xdr:rowOff>0</xdr:rowOff>
    </xdr:from>
    <xdr:to>
      <xdr:col>11</xdr:col>
      <xdr:colOff>371475</xdr:colOff>
      <xdr:row>16</xdr:row>
      <xdr:rowOff>85725</xdr:rowOff>
    </xdr:to>
    <xdr:pic>
      <xdr:nvPicPr>
        <xdr:cNvPr id="1019" name="ID_BEEB05A316494647B7CA4D83BD3C43EF"/>
        <xdr:cNvPicPr>
          <a:picLocks noChangeAspect="1"/>
        </xdr:cNvPicPr>
      </xdr:nvPicPr>
      <xdr:blipFill>
        <a:blip r:embed="rId622"/>
        <a:stretch>
          <a:fillRect/>
        </a:stretch>
      </xdr:blipFill>
      <xdr:spPr>
        <a:xfrm>
          <a:off x="14921865" y="45010070"/>
          <a:ext cx="7915275" cy="2981325"/>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17</xdr:row>
      <xdr:rowOff>0</xdr:rowOff>
    </xdr:to>
    <xdr:pic>
      <xdr:nvPicPr>
        <xdr:cNvPr id="1020" name="ID_C0A4B31F396943719AD1B76CE8A7035C"/>
        <xdr:cNvPicPr>
          <a:picLocks noChangeAspect="1"/>
        </xdr:cNvPicPr>
      </xdr:nvPicPr>
      <xdr:blipFill>
        <a:blip r:embed="rId623"/>
        <a:stretch>
          <a:fillRect/>
        </a:stretch>
      </xdr:blipFill>
      <xdr:spPr>
        <a:xfrm>
          <a:off x="14921865" y="64498220"/>
          <a:ext cx="7486650" cy="3076575"/>
        </a:xfrm>
        <a:prstGeom prst="rect">
          <a:avLst/>
        </a:prstGeom>
        <a:noFill/>
        <a:ln w="9525">
          <a:noFill/>
        </a:ln>
      </xdr:spPr>
    </xdr:pic>
    <xdr:clientData/>
  </xdr:twoCellAnchor>
  <xdr:twoCellAnchor editAs="oneCell">
    <xdr:from>
      <xdr:col>0</xdr:col>
      <xdr:colOff>0</xdr:colOff>
      <xdr:row>0</xdr:row>
      <xdr:rowOff>0</xdr:rowOff>
    </xdr:from>
    <xdr:to>
      <xdr:col>10</xdr:col>
      <xdr:colOff>552450</xdr:colOff>
      <xdr:row>16</xdr:row>
      <xdr:rowOff>152400</xdr:rowOff>
    </xdr:to>
    <xdr:pic>
      <xdr:nvPicPr>
        <xdr:cNvPr id="1021" name="ID_BBDCB05EBA0040CEA22AD51A3892BD76"/>
        <xdr:cNvPicPr>
          <a:picLocks noChangeAspect="1"/>
        </xdr:cNvPicPr>
      </xdr:nvPicPr>
      <xdr:blipFill>
        <a:blip r:embed="rId624"/>
        <a:stretch>
          <a:fillRect/>
        </a:stretch>
      </xdr:blipFill>
      <xdr:spPr>
        <a:xfrm>
          <a:off x="14921865" y="45429170"/>
          <a:ext cx="7410450" cy="3048000"/>
        </a:xfrm>
        <a:prstGeom prst="rect">
          <a:avLst/>
        </a:prstGeom>
        <a:noFill/>
        <a:ln w="9525">
          <a:noFill/>
        </a:ln>
      </xdr:spPr>
    </xdr:pic>
    <xdr:clientData/>
  </xdr:twoCellAnchor>
  <xdr:twoCellAnchor editAs="oneCell">
    <xdr:from>
      <xdr:col>0</xdr:col>
      <xdr:colOff>0</xdr:colOff>
      <xdr:row>0</xdr:row>
      <xdr:rowOff>0</xdr:rowOff>
    </xdr:from>
    <xdr:to>
      <xdr:col>10</xdr:col>
      <xdr:colOff>104775</xdr:colOff>
      <xdr:row>16</xdr:row>
      <xdr:rowOff>152400</xdr:rowOff>
    </xdr:to>
    <xdr:pic>
      <xdr:nvPicPr>
        <xdr:cNvPr id="1022" name="ID_676D40DCE0564ED088482F6AED51E1CD"/>
        <xdr:cNvPicPr>
          <a:picLocks noChangeAspect="1"/>
        </xdr:cNvPicPr>
      </xdr:nvPicPr>
      <xdr:blipFill>
        <a:blip r:embed="rId625"/>
        <a:stretch>
          <a:fillRect/>
        </a:stretch>
      </xdr:blipFill>
      <xdr:spPr>
        <a:xfrm>
          <a:off x="14921865" y="55278020"/>
          <a:ext cx="6962775" cy="3048000"/>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142875</xdr:rowOff>
    </xdr:to>
    <xdr:pic>
      <xdr:nvPicPr>
        <xdr:cNvPr id="1023" name="ID_90992A4B55B8418C9DB03F8C601DBDA3"/>
        <xdr:cNvPicPr>
          <a:picLocks noChangeAspect="1"/>
        </xdr:cNvPicPr>
      </xdr:nvPicPr>
      <xdr:blipFill>
        <a:blip r:embed="rId626"/>
        <a:stretch>
          <a:fillRect/>
        </a:stretch>
      </xdr:blipFill>
      <xdr:spPr>
        <a:xfrm>
          <a:off x="14921865" y="45848270"/>
          <a:ext cx="7429500" cy="3038475"/>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13</xdr:row>
      <xdr:rowOff>123825</xdr:rowOff>
    </xdr:to>
    <xdr:pic>
      <xdr:nvPicPr>
        <xdr:cNvPr id="1024" name="ID_42B3B7BA50C44683A1DEBFF10AE43E29"/>
        <xdr:cNvPicPr>
          <a:picLocks noChangeAspect="1"/>
        </xdr:cNvPicPr>
      </xdr:nvPicPr>
      <xdr:blipFill>
        <a:blip r:embed="rId627"/>
        <a:stretch>
          <a:fillRect/>
        </a:stretch>
      </xdr:blipFill>
      <xdr:spPr>
        <a:xfrm>
          <a:off x="14921865" y="46267370"/>
          <a:ext cx="7439025" cy="2476500"/>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16</xdr:row>
      <xdr:rowOff>152400</xdr:rowOff>
    </xdr:to>
    <xdr:pic>
      <xdr:nvPicPr>
        <xdr:cNvPr id="1025" name="ID_5E5AF448E9E84240AFDB77F4C74CFEEF"/>
        <xdr:cNvPicPr>
          <a:picLocks noChangeAspect="1"/>
        </xdr:cNvPicPr>
      </xdr:nvPicPr>
      <xdr:blipFill>
        <a:blip r:embed="rId628"/>
        <a:stretch>
          <a:fillRect/>
        </a:stretch>
      </xdr:blipFill>
      <xdr:spPr>
        <a:xfrm>
          <a:off x="14921865" y="56116220"/>
          <a:ext cx="6981825" cy="3048000"/>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16</xdr:row>
      <xdr:rowOff>114300</xdr:rowOff>
    </xdr:to>
    <xdr:pic>
      <xdr:nvPicPr>
        <xdr:cNvPr id="1026" name="ID_F60DB18BA82B43959B260C6172A18DED"/>
        <xdr:cNvPicPr>
          <a:picLocks noChangeAspect="1"/>
        </xdr:cNvPicPr>
      </xdr:nvPicPr>
      <xdr:blipFill>
        <a:blip r:embed="rId629"/>
        <a:stretch>
          <a:fillRect/>
        </a:stretch>
      </xdr:blipFill>
      <xdr:spPr>
        <a:xfrm>
          <a:off x="14921865" y="46686470"/>
          <a:ext cx="7458075" cy="3009900"/>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17</xdr:row>
      <xdr:rowOff>9525</xdr:rowOff>
    </xdr:to>
    <xdr:pic>
      <xdr:nvPicPr>
        <xdr:cNvPr id="1027" name="ID_B105D4175DB948ADA595A69028412C3D"/>
        <xdr:cNvPicPr>
          <a:picLocks noChangeAspect="1"/>
        </xdr:cNvPicPr>
      </xdr:nvPicPr>
      <xdr:blipFill>
        <a:blip r:embed="rId630"/>
        <a:stretch>
          <a:fillRect/>
        </a:stretch>
      </xdr:blipFill>
      <xdr:spPr>
        <a:xfrm>
          <a:off x="14921865" y="47105570"/>
          <a:ext cx="7458075" cy="3086100"/>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17</xdr:row>
      <xdr:rowOff>0</xdr:rowOff>
    </xdr:to>
    <xdr:pic>
      <xdr:nvPicPr>
        <xdr:cNvPr id="1028" name="ID_997C620F6C5541E09E6942AB541EBF60"/>
        <xdr:cNvPicPr>
          <a:picLocks noChangeAspect="1"/>
        </xdr:cNvPicPr>
      </xdr:nvPicPr>
      <xdr:blipFill>
        <a:blip r:embed="rId631"/>
        <a:stretch>
          <a:fillRect/>
        </a:stretch>
      </xdr:blipFill>
      <xdr:spPr>
        <a:xfrm>
          <a:off x="14921865" y="47524670"/>
          <a:ext cx="7486650" cy="3076575"/>
        </a:xfrm>
        <a:prstGeom prst="rect">
          <a:avLst/>
        </a:prstGeom>
        <a:noFill/>
        <a:ln w="9525">
          <a:noFill/>
        </a:ln>
      </xdr:spPr>
    </xdr:pic>
    <xdr:clientData/>
  </xdr:twoCellAnchor>
  <xdr:twoCellAnchor editAs="oneCell">
    <xdr:from>
      <xdr:col>0</xdr:col>
      <xdr:colOff>0</xdr:colOff>
      <xdr:row>0</xdr:row>
      <xdr:rowOff>0</xdr:rowOff>
    </xdr:from>
    <xdr:to>
      <xdr:col>10</xdr:col>
      <xdr:colOff>676275</xdr:colOff>
      <xdr:row>11</xdr:row>
      <xdr:rowOff>38100</xdr:rowOff>
    </xdr:to>
    <xdr:pic>
      <xdr:nvPicPr>
        <xdr:cNvPr id="1029" name="ID_701816C38C5245FBBA772442534D53F7"/>
        <xdr:cNvPicPr>
          <a:picLocks noChangeAspect="1"/>
        </xdr:cNvPicPr>
      </xdr:nvPicPr>
      <xdr:blipFill>
        <a:blip r:embed="rId632"/>
        <a:stretch>
          <a:fillRect/>
        </a:stretch>
      </xdr:blipFill>
      <xdr:spPr>
        <a:xfrm>
          <a:off x="14921865" y="47943770"/>
          <a:ext cx="7534275" cy="2028825"/>
        </a:xfrm>
        <a:prstGeom prst="rect">
          <a:avLst/>
        </a:prstGeom>
        <a:noFill/>
        <a:ln w="9525">
          <a:noFill/>
        </a:ln>
      </xdr:spPr>
    </xdr:pic>
    <xdr:clientData/>
  </xdr:twoCellAnchor>
  <xdr:twoCellAnchor editAs="oneCell">
    <xdr:from>
      <xdr:col>0</xdr:col>
      <xdr:colOff>0</xdr:colOff>
      <xdr:row>0</xdr:row>
      <xdr:rowOff>0</xdr:rowOff>
    </xdr:from>
    <xdr:to>
      <xdr:col>10</xdr:col>
      <xdr:colOff>133350</xdr:colOff>
      <xdr:row>16</xdr:row>
      <xdr:rowOff>171450</xdr:rowOff>
    </xdr:to>
    <xdr:pic>
      <xdr:nvPicPr>
        <xdr:cNvPr id="1030" name="ID_6F41740307174736989E6BBA16EB9C52"/>
        <xdr:cNvPicPr>
          <a:picLocks noChangeAspect="1"/>
        </xdr:cNvPicPr>
      </xdr:nvPicPr>
      <xdr:blipFill>
        <a:blip r:embed="rId633"/>
        <a:stretch>
          <a:fillRect/>
        </a:stretch>
      </xdr:blipFill>
      <xdr:spPr>
        <a:xfrm>
          <a:off x="14921865" y="57792620"/>
          <a:ext cx="6991350" cy="3067050"/>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133350</xdr:rowOff>
    </xdr:to>
    <xdr:pic>
      <xdr:nvPicPr>
        <xdr:cNvPr id="1031" name="ID_377B5BF5C112494391A9677587BA2CA6"/>
        <xdr:cNvPicPr>
          <a:picLocks noChangeAspect="1"/>
        </xdr:cNvPicPr>
      </xdr:nvPicPr>
      <xdr:blipFill>
        <a:blip r:embed="rId634"/>
        <a:stretch>
          <a:fillRect/>
        </a:stretch>
      </xdr:blipFill>
      <xdr:spPr>
        <a:xfrm>
          <a:off x="14921865" y="48362870"/>
          <a:ext cx="7429500" cy="3028950"/>
        </a:xfrm>
        <a:prstGeom prst="rect">
          <a:avLst/>
        </a:prstGeom>
        <a:noFill/>
        <a:ln w="9525">
          <a:noFill/>
        </a:ln>
      </xdr:spPr>
    </xdr:pic>
    <xdr:clientData/>
  </xdr:twoCellAnchor>
  <xdr:twoCellAnchor editAs="oneCell">
    <xdr:from>
      <xdr:col>0</xdr:col>
      <xdr:colOff>0</xdr:colOff>
      <xdr:row>0</xdr:row>
      <xdr:rowOff>0</xdr:rowOff>
    </xdr:from>
    <xdr:to>
      <xdr:col>10</xdr:col>
      <xdr:colOff>104775</xdr:colOff>
      <xdr:row>16</xdr:row>
      <xdr:rowOff>114300</xdr:rowOff>
    </xdr:to>
    <xdr:pic>
      <xdr:nvPicPr>
        <xdr:cNvPr id="1032" name="ID_A8C4A6CC55A7403F8156C778F6DD398C"/>
        <xdr:cNvPicPr>
          <a:picLocks noChangeAspect="1"/>
        </xdr:cNvPicPr>
      </xdr:nvPicPr>
      <xdr:blipFill>
        <a:blip r:embed="rId635"/>
        <a:stretch>
          <a:fillRect/>
        </a:stretch>
      </xdr:blipFill>
      <xdr:spPr>
        <a:xfrm>
          <a:off x="14921865" y="49620170"/>
          <a:ext cx="6962775" cy="3009900"/>
        </a:xfrm>
        <a:prstGeom prst="rect">
          <a:avLst/>
        </a:prstGeom>
        <a:noFill/>
        <a:ln w="9525">
          <a:noFill/>
        </a:ln>
      </xdr:spPr>
    </xdr:pic>
    <xdr:clientData/>
  </xdr:twoCellAnchor>
  <xdr:twoCellAnchor editAs="oneCell">
    <xdr:from>
      <xdr:col>0</xdr:col>
      <xdr:colOff>0</xdr:colOff>
      <xdr:row>0</xdr:row>
      <xdr:rowOff>0</xdr:rowOff>
    </xdr:from>
    <xdr:to>
      <xdr:col>10</xdr:col>
      <xdr:colOff>114300</xdr:colOff>
      <xdr:row>7</xdr:row>
      <xdr:rowOff>161925</xdr:rowOff>
    </xdr:to>
    <xdr:pic>
      <xdr:nvPicPr>
        <xdr:cNvPr id="1033" name="ID_E844F55FCCEF4A30A40D8786A0312C12"/>
        <xdr:cNvPicPr>
          <a:picLocks noChangeAspect="1"/>
        </xdr:cNvPicPr>
      </xdr:nvPicPr>
      <xdr:blipFill>
        <a:blip r:embed="rId636"/>
        <a:stretch>
          <a:fillRect/>
        </a:stretch>
      </xdr:blipFill>
      <xdr:spPr>
        <a:xfrm>
          <a:off x="14921865" y="50039270"/>
          <a:ext cx="6972300" cy="1428750"/>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17</xdr:row>
      <xdr:rowOff>0</xdr:rowOff>
    </xdr:to>
    <xdr:pic>
      <xdr:nvPicPr>
        <xdr:cNvPr id="1034" name="ID_A24FC4002DEB47B0B3914CF713C57205"/>
        <xdr:cNvPicPr>
          <a:picLocks noChangeAspect="1"/>
        </xdr:cNvPicPr>
      </xdr:nvPicPr>
      <xdr:blipFill>
        <a:blip r:embed="rId637"/>
        <a:stretch>
          <a:fillRect/>
        </a:stretch>
      </xdr:blipFill>
      <xdr:spPr>
        <a:xfrm>
          <a:off x="14921865" y="69527420"/>
          <a:ext cx="6981825" cy="3076575"/>
        </a:xfrm>
        <a:prstGeom prst="rect">
          <a:avLst/>
        </a:prstGeom>
        <a:noFill/>
        <a:ln w="9525">
          <a:noFill/>
        </a:ln>
      </xdr:spPr>
    </xdr:pic>
    <xdr:clientData/>
  </xdr:twoCellAnchor>
  <xdr:twoCellAnchor editAs="oneCell">
    <xdr:from>
      <xdr:col>0</xdr:col>
      <xdr:colOff>0</xdr:colOff>
      <xdr:row>0</xdr:row>
      <xdr:rowOff>0</xdr:rowOff>
    </xdr:from>
    <xdr:to>
      <xdr:col>10</xdr:col>
      <xdr:colOff>561975</xdr:colOff>
      <xdr:row>16</xdr:row>
      <xdr:rowOff>142875</xdr:rowOff>
    </xdr:to>
    <xdr:pic>
      <xdr:nvPicPr>
        <xdr:cNvPr id="1035" name="ID_5042350166344434B007E346DC91E2C6"/>
        <xdr:cNvPicPr>
          <a:picLocks noChangeAspect="1"/>
        </xdr:cNvPicPr>
      </xdr:nvPicPr>
      <xdr:blipFill>
        <a:blip r:embed="rId638"/>
        <a:stretch>
          <a:fillRect/>
        </a:stretch>
      </xdr:blipFill>
      <xdr:spPr>
        <a:xfrm>
          <a:off x="14921865" y="50458370"/>
          <a:ext cx="7419975" cy="3038475"/>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17</xdr:row>
      <xdr:rowOff>0</xdr:rowOff>
    </xdr:to>
    <xdr:pic>
      <xdr:nvPicPr>
        <xdr:cNvPr id="1036" name="ID_6F8D3AB9F34E4551BF1AF5E17C479B09"/>
        <xdr:cNvPicPr>
          <a:picLocks noChangeAspect="1"/>
        </xdr:cNvPicPr>
      </xdr:nvPicPr>
      <xdr:blipFill>
        <a:blip r:embed="rId639"/>
        <a:stretch>
          <a:fillRect/>
        </a:stretch>
      </xdr:blipFill>
      <xdr:spPr>
        <a:xfrm>
          <a:off x="14921865" y="69946520"/>
          <a:ext cx="6981825" cy="3076575"/>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12</xdr:row>
      <xdr:rowOff>142875</xdr:rowOff>
    </xdr:to>
    <xdr:pic>
      <xdr:nvPicPr>
        <xdr:cNvPr id="1037" name="ID_0822BA47C51C4045934938832D953652"/>
        <xdr:cNvPicPr>
          <a:picLocks noChangeAspect="1"/>
        </xdr:cNvPicPr>
      </xdr:nvPicPr>
      <xdr:blipFill>
        <a:blip r:embed="rId640"/>
        <a:stretch>
          <a:fillRect/>
        </a:stretch>
      </xdr:blipFill>
      <xdr:spPr>
        <a:xfrm>
          <a:off x="14921865" y="50877470"/>
          <a:ext cx="7486650" cy="2314575"/>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123825</xdr:rowOff>
    </xdr:to>
    <xdr:pic>
      <xdr:nvPicPr>
        <xdr:cNvPr id="1038" name="ID_F010160E49C741E992E09A9A7C835FCD"/>
        <xdr:cNvPicPr>
          <a:picLocks noChangeAspect="1"/>
        </xdr:cNvPicPr>
      </xdr:nvPicPr>
      <xdr:blipFill>
        <a:blip r:embed="rId641"/>
        <a:stretch>
          <a:fillRect/>
        </a:stretch>
      </xdr:blipFill>
      <xdr:spPr>
        <a:xfrm>
          <a:off x="14921865" y="51715670"/>
          <a:ext cx="7429500" cy="3019425"/>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8</xdr:row>
      <xdr:rowOff>57150</xdr:rowOff>
    </xdr:to>
    <xdr:pic>
      <xdr:nvPicPr>
        <xdr:cNvPr id="1039" name="ID_4B00AED0DF8247F0A678F66868693601"/>
        <xdr:cNvPicPr>
          <a:picLocks noChangeAspect="1"/>
        </xdr:cNvPicPr>
      </xdr:nvPicPr>
      <xdr:blipFill>
        <a:blip r:embed="rId642"/>
        <a:stretch>
          <a:fillRect/>
        </a:stretch>
      </xdr:blipFill>
      <xdr:spPr>
        <a:xfrm>
          <a:off x="14921865" y="52344320"/>
          <a:ext cx="7458075" cy="1504950"/>
        </a:xfrm>
        <a:prstGeom prst="rect">
          <a:avLst/>
        </a:prstGeom>
        <a:noFill/>
        <a:ln w="9525">
          <a:noFill/>
        </a:ln>
      </xdr:spPr>
    </xdr:pic>
    <xdr:clientData/>
  </xdr:twoCellAnchor>
  <xdr:twoCellAnchor editAs="oneCell">
    <xdr:from>
      <xdr:col>0</xdr:col>
      <xdr:colOff>0</xdr:colOff>
      <xdr:row>0</xdr:row>
      <xdr:rowOff>0</xdr:rowOff>
    </xdr:from>
    <xdr:to>
      <xdr:col>11</xdr:col>
      <xdr:colOff>476250</xdr:colOff>
      <xdr:row>10</xdr:row>
      <xdr:rowOff>142875</xdr:rowOff>
    </xdr:to>
    <xdr:pic>
      <xdr:nvPicPr>
        <xdr:cNvPr id="1040" name="ID_C73F2BCB8D1041F1A202BAE1A60AD684"/>
        <xdr:cNvPicPr>
          <a:picLocks noChangeAspect="1"/>
        </xdr:cNvPicPr>
      </xdr:nvPicPr>
      <xdr:blipFill>
        <a:blip r:embed="rId643"/>
        <a:stretch>
          <a:fillRect/>
        </a:stretch>
      </xdr:blipFill>
      <xdr:spPr>
        <a:xfrm>
          <a:off x="14921865" y="81681320"/>
          <a:ext cx="8020050" cy="1952625"/>
        </a:xfrm>
        <a:prstGeom prst="rect">
          <a:avLst/>
        </a:prstGeom>
        <a:noFill/>
        <a:ln w="9525">
          <a:noFill/>
        </a:ln>
      </xdr:spPr>
    </xdr:pic>
    <xdr:clientData/>
  </xdr:twoCellAnchor>
  <xdr:twoCellAnchor editAs="oneCell">
    <xdr:from>
      <xdr:col>0</xdr:col>
      <xdr:colOff>0</xdr:colOff>
      <xdr:row>0</xdr:row>
      <xdr:rowOff>0</xdr:rowOff>
    </xdr:from>
    <xdr:to>
      <xdr:col>13</xdr:col>
      <xdr:colOff>638175</xdr:colOff>
      <xdr:row>29</xdr:row>
      <xdr:rowOff>171450</xdr:rowOff>
    </xdr:to>
    <xdr:pic>
      <xdr:nvPicPr>
        <xdr:cNvPr id="1041" name="ID_4BBC6EE3B15745B9B44ED00C7CE04302"/>
        <xdr:cNvPicPr>
          <a:picLocks noChangeAspect="1"/>
        </xdr:cNvPicPr>
      </xdr:nvPicPr>
      <xdr:blipFill>
        <a:blip r:embed="rId644"/>
        <a:stretch>
          <a:fillRect/>
        </a:stretch>
      </xdr:blipFill>
      <xdr:spPr>
        <a:xfrm>
          <a:off x="14921865" y="52763420"/>
          <a:ext cx="9553575" cy="5419725"/>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17</xdr:row>
      <xdr:rowOff>0</xdr:rowOff>
    </xdr:to>
    <xdr:pic>
      <xdr:nvPicPr>
        <xdr:cNvPr id="1042" name="ID_55614466C34149A1A09B09179E8BCA7B"/>
        <xdr:cNvPicPr>
          <a:picLocks noChangeAspect="1"/>
        </xdr:cNvPicPr>
      </xdr:nvPicPr>
      <xdr:blipFill>
        <a:blip r:embed="rId645"/>
        <a:stretch>
          <a:fillRect/>
        </a:stretch>
      </xdr:blipFill>
      <xdr:spPr>
        <a:xfrm>
          <a:off x="14921865" y="53182520"/>
          <a:ext cx="7486650" cy="3076575"/>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161925</xdr:rowOff>
    </xdr:to>
    <xdr:pic>
      <xdr:nvPicPr>
        <xdr:cNvPr id="1043" name="ID_A18128851B07499ABFF13ADA13F88B22"/>
        <xdr:cNvPicPr>
          <a:picLocks noChangeAspect="1"/>
        </xdr:cNvPicPr>
      </xdr:nvPicPr>
      <xdr:blipFill>
        <a:blip r:embed="rId646"/>
        <a:stretch>
          <a:fillRect/>
        </a:stretch>
      </xdr:blipFill>
      <xdr:spPr>
        <a:xfrm>
          <a:off x="14921865" y="54020720"/>
          <a:ext cx="7429500" cy="3057525"/>
        </a:xfrm>
        <a:prstGeom prst="rect">
          <a:avLst/>
        </a:prstGeom>
        <a:noFill/>
        <a:ln w="9525">
          <a:noFill/>
        </a:ln>
      </xdr:spPr>
    </xdr:pic>
    <xdr:clientData/>
  </xdr:twoCellAnchor>
  <xdr:twoCellAnchor editAs="oneCell">
    <xdr:from>
      <xdr:col>0</xdr:col>
      <xdr:colOff>0</xdr:colOff>
      <xdr:row>0</xdr:row>
      <xdr:rowOff>0</xdr:rowOff>
    </xdr:from>
    <xdr:to>
      <xdr:col>11</xdr:col>
      <xdr:colOff>0</xdr:colOff>
      <xdr:row>6</xdr:row>
      <xdr:rowOff>19050</xdr:rowOff>
    </xdr:to>
    <xdr:pic>
      <xdr:nvPicPr>
        <xdr:cNvPr id="1044" name="ID_A46E7AA05B0D4E9C87C170985952BC24"/>
        <xdr:cNvPicPr>
          <a:picLocks noChangeAspect="1"/>
        </xdr:cNvPicPr>
      </xdr:nvPicPr>
      <xdr:blipFill>
        <a:blip r:embed="rId647"/>
        <a:stretch>
          <a:fillRect/>
        </a:stretch>
      </xdr:blipFill>
      <xdr:spPr>
        <a:xfrm>
          <a:off x="14921865" y="54858920"/>
          <a:ext cx="7543800" cy="1104900"/>
        </a:xfrm>
        <a:prstGeom prst="rect">
          <a:avLst/>
        </a:prstGeom>
        <a:noFill/>
        <a:ln w="9525">
          <a:noFill/>
        </a:ln>
      </xdr:spPr>
    </xdr:pic>
    <xdr:clientData/>
  </xdr:twoCellAnchor>
  <xdr:twoCellAnchor editAs="oneCell">
    <xdr:from>
      <xdr:col>0</xdr:col>
      <xdr:colOff>0</xdr:colOff>
      <xdr:row>0</xdr:row>
      <xdr:rowOff>0</xdr:rowOff>
    </xdr:from>
    <xdr:to>
      <xdr:col>10</xdr:col>
      <xdr:colOff>133350</xdr:colOff>
      <xdr:row>17</xdr:row>
      <xdr:rowOff>9525</xdr:rowOff>
    </xdr:to>
    <xdr:pic>
      <xdr:nvPicPr>
        <xdr:cNvPr id="1045" name="ID_87060883A1B2403BAE7B342F1F3C114E"/>
        <xdr:cNvPicPr>
          <a:picLocks noChangeAspect="1"/>
        </xdr:cNvPicPr>
      </xdr:nvPicPr>
      <xdr:blipFill>
        <a:blip r:embed="rId648"/>
        <a:stretch>
          <a:fillRect/>
        </a:stretch>
      </xdr:blipFill>
      <xdr:spPr>
        <a:xfrm>
          <a:off x="14921865" y="74975720"/>
          <a:ext cx="6991350" cy="3086100"/>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17</xdr:row>
      <xdr:rowOff>19050</xdr:rowOff>
    </xdr:to>
    <xdr:pic>
      <xdr:nvPicPr>
        <xdr:cNvPr id="1046" name="ID_4EB19293A178460198A2981E2F750FED"/>
        <xdr:cNvPicPr>
          <a:picLocks noChangeAspect="1"/>
        </xdr:cNvPicPr>
      </xdr:nvPicPr>
      <xdr:blipFill>
        <a:blip r:embed="rId649"/>
        <a:stretch>
          <a:fillRect/>
        </a:stretch>
      </xdr:blipFill>
      <xdr:spPr>
        <a:xfrm>
          <a:off x="14921865" y="55697120"/>
          <a:ext cx="7010400" cy="3095625"/>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17</xdr:row>
      <xdr:rowOff>47625</xdr:rowOff>
    </xdr:to>
    <xdr:pic>
      <xdr:nvPicPr>
        <xdr:cNvPr id="1047" name="ID_4A5D1AF109064CB29217A9501924C719"/>
        <xdr:cNvPicPr>
          <a:picLocks noChangeAspect="1"/>
        </xdr:cNvPicPr>
      </xdr:nvPicPr>
      <xdr:blipFill>
        <a:blip r:embed="rId650"/>
        <a:stretch>
          <a:fillRect/>
        </a:stretch>
      </xdr:blipFill>
      <xdr:spPr>
        <a:xfrm>
          <a:off x="14921865" y="56535320"/>
          <a:ext cx="7000875" cy="3124200"/>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17</xdr:row>
      <xdr:rowOff>57150</xdr:rowOff>
    </xdr:to>
    <xdr:pic>
      <xdr:nvPicPr>
        <xdr:cNvPr id="1048" name="ID_4CDDF1CA47944F01BD75B70B0E47ED8A"/>
        <xdr:cNvPicPr>
          <a:picLocks noChangeAspect="1"/>
        </xdr:cNvPicPr>
      </xdr:nvPicPr>
      <xdr:blipFill>
        <a:blip r:embed="rId651"/>
        <a:stretch>
          <a:fillRect/>
        </a:stretch>
      </xdr:blipFill>
      <xdr:spPr>
        <a:xfrm>
          <a:off x="14921865" y="76233020"/>
          <a:ext cx="7467600" cy="3133725"/>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16</xdr:row>
      <xdr:rowOff>123825</xdr:rowOff>
    </xdr:to>
    <xdr:pic>
      <xdr:nvPicPr>
        <xdr:cNvPr id="1049" name="ID_A1E4BF7ED5044A85A4C597D77A1CF112"/>
        <xdr:cNvPicPr>
          <a:picLocks noChangeAspect="1"/>
        </xdr:cNvPicPr>
      </xdr:nvPicPr>
      <xdr:blipFill>
        <a:blip r:embed="rId652"/>
        <a:stretch>
          <a:fillRect/>
        </a:stretch>
      </xdr:blipFill>
      <xdr:spPr>
        <a:xfrm>
          <a:off x="14921865" y="66593720"/>
          <a:ext cx="7467600" cy="3019425"/>
        </a:xfrm>
        <a:prstGeom prst="rect">
          <a:avLst/>
        </a:prstGeom>
        <a:noFill/>
        <a:ln w="9525">
          <a:noFill/>
        </a:ln>
      </xdr:spPr>
    </xdr:pic>
    <xdr:clientData/>
  </xdr:twoCellAnchor>
  <xdr:twoCellAnchor editAs="oneCell">
    <xdr:from>
      <xdr:col>0</xdr:col>
      <xdr:colOff>0</xdr:colOff>
      <xdr:row>0</xdr:row>
      <xdr:rowOff>0</xdr:rowOff>
    </xdr:from>
    <xdr:to>
      <xdr:col>10</xdr:col>
      <xdr:colOff>180975</xdr:colOff>
      <xdr:row>17</xdr:row>
      <xdr:rowOff>38100</xdr:rowOff>
    </xdr:to>
    <xdr:pic>
      <xdr:nvPicPr>
        <xdr:cNvPr id="1050" name="ID_2655E751EEA94C49985DB5E482D8ED5E"/>
        <xdr:cNvPicPr>
          <a:picLocks noChangeAspect="1"/>
        </xdr:cNvPicPr>
      </xdr:nvPicPr>
      <xdr:blipFill>
        <a:blip r:embed="rId653"/>
        <a:stretch>
          <a:fillRect/>
        </a:stretch>
      </xdr:blipFill>
      <xdr:spPr>
        <a:xfrm>
          <a:off x="14921865" y="56954420"/>
          <a:ext cx="7038975" cy="3114675"/>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17</xdr:row>
      <xdr:rowOff>19050</xdr:rowOff>
    </xdr:to>
    <xdr:pic>
      <xdr:nvPicPr>
        <xdr:cNvPr id="1051" name="ID_FC8A2E7537CA48C291F445D98E2830B9"/>
        <xdr:cNvPicPr>
          <a:picLocks noChangeAspect="1"/>
        </xdr:cNvPicPr>
      </xdr:nvPicPr>
      <xdr:blipFill>
        <a:blip r:embed="rId654"/>
        <a:stretch>
          <a:fillRect/>
        </a:stretch>
      </xdr:blipFill>
      <xdr:spPr>
        <a:xfrm>
          <a:off x="14921865" y="76652120"/>
          <a:ext cx="7458075" cy="3095625"/>
        </a:xfrm>
        <a:prstGeom prst="rect">
          <a:avLst/>
        </a:prstGeom>
        <a:noFill/>
        <a:ln w="9525">
          <a:noFill/>
        </a:ln>
      </xdr:spPr>
    </xdr:pic>
    <xdr:clientData/>
  </xdr:twoCellAnchor>
  <xdr:twoCellAnchor editAs="oneCell">
    <xdr:from>
      <xdr:col>0</xdr:col>
      <xdr:colOff>0</xdr:colOff>
      <xdr:row>0</xdr:row>
      <xdr:rowOff>0</xdr:rowOff>
    </xdr:from>
    <xdr:to>
      <xdr:col>10</xdr:col>
      <xdr:colOff>180975</xdr:colOff>
      <xdr:row>6</xdr:row>
      <xdr:rowOff>47625</xdr:rowOff>
    </xdr:to>
    <xdr:pic>
      <xdr:nvPicPr>
        <xdr:cNvPr id="1052" name="ID_712FE2215FEA483CB3F49C7332CD04F7"/>
        <xdr:cNvPicPr>
          <a:picLocks noChangeAspect="1"/>
        </xdr:cNvPicPr>
      </xdr:nvPicPr>
      <xdr:blipFill>
        <a:blip r:embed="rId655"/>
        <a:stretch>
          <a:fillRect/>
        </a:stretch>
      </xdr:blipFill>
      <xdr:spPr>
        <a:xfrm>
          <a:off x="14921865" y="57373520"/>
          <a:ext cx="7038975" cy="1133475"/>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23</xdr:row>
      <xdr:rowOff>171450</xdr:rowOff>
    </xdr:to>
    <xdr:pic>
      <xdr:nvPicPr>
        <xdr:cNvPr id="1053" name="ID_F8EBD87318C143828176EF3844B5E54C"/>
        <xdr:cNvPicPr>
          <a:picLocks noChangeAspect="1"/>
        </xdr:cNvPicPr>
      </xdr:nvPicPr>
      <xdr:blipFill>
        <a:blip r:embed="rId656"/>
        <a:stretch>
          <a:fillRect/>
        </a:stretch>
      </xdr:blipFill>
      <xdr:spPr>
        <a:xfrm>
          <a:off x="14921865" y="58211720"/>
          <a:ext cx="7000875" cy="4333875"/>
        </a:xfrm>
        <a:prstGeom prst="rect">
          <a:avLst/>
        </a:prstGeom>
        <a:noFill/>
        <a:ln w="9525">
          <a:noFill/>
        </a:ln>
      </xdr:spPr>
    </xdr:pic>
    <xdr:clientData/>
  </xdr:twoCellAnchor>
  <xdr:twoCellAnchor editAs="oneCell">
    <xdr:from>
      <xdr:col>0</xdr:col>
      <xdr:colOff>0</xdr:colOff>
      <xdr:row>0</xdr:row>
      <xdr:rowOff>0</xdr:rowOff>
    </xdr:from>
    <xdr:to>
      <xdr:col>10</xdr:col>
      <xdr:colOff>114300</xdr:colOff>
      <xdr:row>17</xdr:row>
      <xdr:rowOff>28575</xdr:rowOff>
    </xdr:to>
    <xdr:pic>
      <xdr:nvPicPr>
        <xdr:cNvPr id="1054" name="ID_41EA253B27604154A7926E378A2B5B3F"/>
        <xdr:cNvPicPr>
          <a:picLocks noChangeAspect="1"/>
        </xdr:cNvPicPr>
      </xdr:nvPicPr>
      <xdr:blipFill>
        <a:blip r:embed="rId657"/>
        <a:stretch>
          <a:fillRect/>
        </a:stretch>
      </xdr:blipFill>
      <xdr:spPr>
        <a:xfrm>
          <a:off x="14921865" y="59049920"/>
          <a:ext cx="6972300" cy="3105150"/>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17</xdr:row>
      <xdr:rowOff>9525</xdr:rowOff>
    </xdr:to>
    <xdr:pic>
      <xdr:nvPicPr>
        <xdr:cNvPr id="1055" name="ID_C5036CAB6D0F4EDEA928193378A4368C"/>
        <xdr:cNvPicPr>
          <a:picLocks noChangeAspect="1"/>
        </xdr:cNvPicPr>
      </xdr:nvPicPr>
      <xdr:blipFill>
        <a:blip r:embed="rId658"/>
        <a:stretch>
          <a:fillRect/>
        </a:stretch>
      </xdr:blipFill>
      <xdr:spPr>
        <a:xfrm>
          <a:off x="14921865" y="59469020"/>
          <a:ext cx="6981825" cy="3086100"/>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16</xdr:row>
      <xdr:rowOff>171450</xdr:rowOff>
    </xdr:to>
    <xdr:pic>
      <xdr:nvPicPr>
        <xdr:cNvPr id="1056" name="ID_038A411F19734527B65F3DDABA5EF9B0"/>
        <xdr:cNvPicPr>
          <a:picLocks noChangeAspect="1"/>
        </xdr:cNvPicPr>
      </xdr:nvPicPr>
      <xdr:blipFill>
        <a:blip r:embed="rId659"/>
        <a:stretch>
          <a:fillRect/>
        </a:stretch>
      </xdr:blipFill>
      <xdr:spPr>
        <a:xfrm>
          <a:off x="14921865" y="59888120"/>
          <a:ext cx="7010400" cy="3067050"/>
        </a:xfrm>
        <a:prstGeom prst="rect">
          <a:avLst/>
        </a:prstGeom>
        <a:noFill/>
        <a:ln w="9525">
          <a:noFill/>
        </a:ln>
      </xdr:spPr>
    </xdr:pic>
    <xdr:clientData/>
  </xdr:twoCellAnchor>
  <xdr:twoCellAnchor editAs="oneCell">
    <xdr:from>
      <xdr:col>0</xdr:col>
      <xdr:colOff>0</xdr:colOff>
      <xdr:row>0</xdr:row>
      <xdr:rowOff>0</xdr:rowOff>
    </xdr:from>
    <xdr:to>
      <xdr:col>10</xdr:col>
      <xdr:colOff>180975</xdr:colOff>
      <xdr:row>5</xdr:row>
      <xdr:rowOff>161925</xdr:rowOff>
    </xdr:to>
    <xdr:pic>
      <xdr:nvPicPr>
        <xdr:cNvPr id="1057" name="ID_765761D82DF14402AAABC0659C7BE1DD"/>
        <xdr:cNvPicPr>
          <a:picLocks noChangeAspect="1"/>
        </xdr:cNvPicPr>
      </xdr:nvPicPr>
      <xdr:blipFill>
        <a:blip r:embed="rId660"/>
        <a:stretch>
          <a:fillRect/>
        </a:stretch>
      </xdr:blipFill>
      <xdr:spPr>
        <a:xfrm>
          <a:off x="14921865" y="60307220"/>
          <a:ext cx="7038975" cy="1066800"/>
        </a:xfrm>
        <a:prstGeom prst="rect">
          <a:avLst/>
        </a:prstGeom>
        <a:noFill/>
        <a:ln w="9525">
          <a:noFill/>
        </a:ln>
      </xdr:spPr>
    </xdr:pic>
    <xdr:clientData/>
  </xdr:twoCellAnchor>
  <xdr:twoCellAnchor editAs="oneCell">
    <xdr:from>
      <xdr:col>0</xdr:col>
      <xdr:colOff>0</xdr:colOff>
      <xdr:row>0</xdr:row>
      <xdr:rowOff>0</xdr:rowOff>
    </xdr:from>
    <xdr:to>
      <xdr:col>11</xdr:col>
      <xdr:colOff>495300</xdr:colOff>
      <xdr:row>17</xdr:row>
      <xdr:rowOff>95250</xdr:rowOff>
    </xdr:to>
    <xdr:pic>
      <xdr:nvPicPr>
        <xdr:cNvPr id="1058" name="ID_826F82EB736D479BA8AF39BE8FF1ED89"/>
        <xdr:cNvPicPr>
          <a:picLocks noChangeAspect="1"/>
        </xdr:cNvPicPr>
      </xdr:nvPicPr>
      <xdr:blipFill>
        <a:blip r:embed="rId661"/>
        <a:stretch>
          <a:fillRect/>
        </a:stretch>
      </xdr:blipFill>
      <xdr:spPr>
        <a:xfrm>
          <a:off x="14921865" y="60726320"/>
          <a:ext cx="8039100" cy="3171825"/>
        </a:xfrm>
        <a:prstGeom prst="rect">
          <a:avLst/>
        </a:prstGeom>
        <a:noFill/>
        <a:ln w="9525">
          <a:noFill/>
        </a:ln>
      </xdr:spPr>
    </xdr:pic>
    <xdr:clientData/>
  </xdr:twoCellAnchor>
  <xdr:twoCellAnchor editAs="oneCell">
    <xdr:from>
      <xdr:col>0</xdr:col>
      <xdr:colOff>0</xdr:colOff>
      <xdr:row>0</xdr:row>
      <xdr:rowOff>0</xdr:rowOff>
    </xdr:from>
    <xdr:to>
      <xdr:col>11</xdr:col>
      <xdr:colOff>495300</xdr:colOff>
      <xdr:row>17</xdr:row>
      <xdr:rowOff>38100</xdr:rowOff>
    </xdr:to>
    <xdr:pic>
      <xdr:nvPicPr>
        <xdr:cNvPr id="1059" name="ID_B9460A107FAB4CBEB85CDD24824C4C35"/>
        <xdr:cNvPicPr>
          <a:picLocks noChangeAspect="1"/>
        </xdr:cNvPicPr>
      </xdr:nvPicPr>
      <xdr:blipFill>
        <a:blip r:embed="rId662"/>
        <a:stretch>
          <a:fillRect/>
        </a:stretch>
      </xdr:blipFill>
      <xdr:spPr>
        <a:xfrm>
          <a:off x="14921865" y="61145420"/>
          <a:ext cx="8039100" cy="3114675"/>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16</xdr:row>
      <xdr:rowOff>152400</xdr:rowOff>
    </xdr:to>
    <xdr:pic>
      <xdr:nvPicPr>
        <xdr:cNvPr id="1060" name="ID_E5C70D8182054D24AAC49164ED34A531"/>
        <xdr:cNvPicPr>
          <a:picLocks noChangeAspect="1"/>
        </xdr:cNvPicPr>
      </xdr:nvPicPr>
      <xdr:blipFill>
        <a:blip r:embed="rId663"/>
        <a:stretch>
          <a:fillRect/>
        </a:stretch>
      </xdr:blipFill>
      <xdr:spPr>
        <a:xfrm>
          <a:off x="14921865" y="61983620"/>
          <a:ext cx="7448550" cy="3048000"/>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16</xdr:row>
      <xdr:rowOff>152400</xdr:rowOff>
    </xdr:to>
    <xdr:pic>
      <xdr:nvPicPr>
        <xdr:cNvPr id="1061" name="ID_710DD672756840DFA04CD8518CD76118"/>
        <xdr:cNvPicPr>
          <a:picLocks noChangeAspect="1"/>
        </xdr:cNvPicPr>
      </xdr:nvPicPr>
      <xdr:blipFill>
        <a:blip r:embed="rId664"/>
        <a:stretch>
          <a:fillRect/>
        </a:stretch>
      </xdr:blipFill>
      <xdr:spPr>
        <a:xfrm>
          <a:off x="14921865" y="72042020"/>
          <a:ext cx="7467600" cy="3048000"/>
        </a:xfrm>
        <a:prstGeom prst="rect">
          <a:avLst/>
        </a:prstGeom>
        <a:noFill/>
        <a:ln w="9525">
          <a:noFill/>
        </a:ln>
      </xdr:spPr>
    </xdr:pic>
    <xdr:clientData/>
  </xdr:twoCellAnchor>
  <xdr:twoCellAnchor editAs="oneCell">
    <xdr:from>
      <xdr:col>0</xdr:col>
      <xdr:colOff>0</xdr:colOff>
      <xdr:row>0</xdr:row>
      <xdr:rowOff>0</xdr:rowOff>
    </xdr:from>
    <xdr:to>
      <xdr:col>10</xdr:col>
      <xdr:colOff>666750</xdr:colOff>
      <xdr:row>17</xdr:row>
      <xdr:rowOff>57150</xdr:rowOff>
    </xdr:to>
    <xdr:pic>
      <xdr:nvPicPr>
        <xdr:cNvPr id="1062" name="ID_EC649A31834A4240B5A330D27C0A60E0"/>
        <xdr:cNvPicPr>
          <a:picLocks noChangeAspect="1"/>
        </xdr:cNvPicPr>
      </xdr:nvPicPr>
      <xdr:blipFill>
        <a:blip r:embed="rId665"/>
        <a:stretch>
          <a:fillRect/>
        </a:stretch>
      </xdr:blipFill>
      <xdr:spPr>
        <a:xfrm>
          <a:off x="14921865" y="62402720"/>
          <a:ext cx="7524750" cy="3133725"/>
        </a:xfrm>
        <a:prstGeom prst="rect">
          <a:avLst/>
        </a:prstGeom>
        <a:noFill/>
        <a:ln w="9525">
          <a:noFill/>
        </a:ln>
      </xdr:spPr>
    </xdr:pic>
    <xdr:clientData/>
  </xdr:twoCellAnchor>
  <xdr:twoCellAnchor editAs="oneCell">
    <xdr:from>
      <xdr:col>0</xdr:col>
      <xdr:colOff>0</xdr:colOff>
      <xdr:row>0</xdr:row>
      <xdr:rowOff>0</xdr:rowOff>
    </xdr:from>
    <xdr:to>
      <xdr:col>11</xdr:col>
      <xdr:colOff>9525</xdr:colOff>
      <xdr:row>7</xdr:row>
      <xdr:rowOff>9525</xdr:rowOff>
    </xdr:to>
    <xdr:pic>
      <xdr:nvPicPr>
        <xdr:cNvPr id="1063" name="ID_9252EAFEFB1D40BFB0D950B1C8225D74"/>
        <xdr:cNvPicPr>
          <a:picLocks noChangeAspect="1"/>
        </xdr:cNvPicPr>
      </xdr:nvPicPr>
      <xdr:blipFill>
        <a:blip r:embed="rId666"/>
        <a:stretch>
          <a:fillRect/>
        </a:stretch>
      </xdr:blipFill>
      <xdr:spPr>
        <a:xfrm>
          <a:off x="14921865" y="63660020"/>
          <a:ext cx="7553325" cy="1276350"/>
        </a:xfrm>
        <a:prstGeom prst="rect">
          <a:avLst/>
        </a:prstGeom>
        <a:noFill/>
        <a:ln w="9525">
          <a:noFill/>
        </a:ln>
      </xdr:spPr>
    </xdr:pic>
    <xdr:clientData/>
  </xdr:twoCellAnchor>
  <xdr:twoCellAnchor editAs="oneCell">
    <xdr:from>
      <xdr:col>0</xdr:col>
      <xdr:colOff>0</xdr:colOff>
      <xdr:row>0</xdr:row>
      <xdr:rowOff>0</xdr:rowOff>
    </xdr:from>
    <xdr:to>
      <xdr:col>10</xdr:col>
      <xdr:colOff>142875</xdr:colOff>
      <xdr:row>16</xdr:row>
      <xdr:rowOff>142875</xdr:rowOff>
    </xdr:to>
    <xdr:pic>
      <xdr:nvPicPr>
        <xdr:cNvPr id="1064" name="ID_FBBA63517EC146E89BC998CAF4923B22"/>
        <xdr:cNvPicPr>
          <a:picLocks noChangeAspect="1"/>
        </xdr:cNvPicPr>
      </xdr:nvPicPr>
      <xdr:blipFill>
        <a:blip r:embed="rId667"/>
        <a:stretch>
          <a:fillRect/>
        </a:stretch>
      </xdr:blipFill>
      <xdr:spPr>
        <a:xfrm>
          <a:off x="14921865" y="73718420"/>
          <a:ext cx="7000875" cy="3038475"/>
        </a:xfrm>
        <a:prstGeom prst="rect">
          <a:avLst/>
        </a:prstGeom>
        <a:noFill/>
        <a:ln w="9525">
          <a:noFill/>
        </a:ln>
      </xdr:spPr>
    </xdr:pic>
    <xdr:clientData/>
  </xdr:twoCellAnchor>
  <xdr:twoCellAnchor editAs="oneCell">
    <xdr:from>
      <xdr:col>0</xdr:col>
      <xdr:colOff>0</xdr:colOff>
      <xdr:row>0</xdr:row>
      <xdr:rowOff>0</xdr:rowOff>
    </xdr:from>
    <xdr:to>
      <xdr:col>11</xdr:col>
      <xdr:colOff>495300</xdr:colOff>
      <xdr:row>17</xdr:row>
      <xdr:rowOff>47625</xdr:rowOff>
    </xdr:to>
    <xdr:pic>
      <xdr:nvPicPr>
        <xdr:cNvPr id="1065" name="ID_6A72BBB8139045B39533F990D221331A"/>
        <xdr:cNvPicPr>
          <a:picLocks noChangeAspect="1"/>
        </xdr:cNvPicPr>
      </xdr:nvPicPr>
      <xdr:blipFill>
        <a:blip r:embed="rId668"/>
        <a:stretch>
          <a:fillRect/>
        </a:stretch>
      </xdr:blipFill>
      <xdr:spPr>
        <a:xfrm>
          <a:off x="14921865" y="64079120"/>
          <a:ext cx="8039100" cy="3124200"/>
        </a:xfrm>
        <a:prstGeom prst="rect">
          <a:avLst/>
        </a:prstGeom>
        <a:noFill/>
        <a:ln w="9525">
          <a:noFill/>
        </a:ln>
      </xdr:spPr>
    </xdr:pic>
    <xdr:clientData/>
  </xdr:twoCellAnchor>
  <xdr:twoCellAnchor editAs="oneCell">
    <xdr:from>
      <xdr:col>0</xdr:col>
      <xdr:colOff>0</xdr:colOff>
      <xdr:row>0</xdr:row>
      <xdr:rowOff>0</xdr:rowOff>
    </xdr:from>
    <xdr:to>
      <xdr:col>10</xdr:col>
      <xdr:colOff>180975</xdr:colOff>
      <xdr:row>16</xdr:row>
      <xdr:rowOff>171450</xdr:rowOff>
    </xdr:to>
    <xdr:pic>
      <xdr:nvPicPr>
        <xdr:cNvPr id="1066" name="ID_3185D9A771FE46DCBCA42EE9563F7C22"/>
        <xdr:cNvPicPr>
          <a:picLocks noChangeAspect="1"/>
        </xdr:cNvPicPr>
      </xdr:nvPicPr>
      <xdr:blipFill>
        <a:blip r:embed="rId669"/>
        <a:stretch>
          <a:fillRect/>
        </a:stretch>
      </xdr:blipFill>
      <xdr:spPr>
        <a:xfrm>
          <a:off x="14921865" y="74556620"/>
          <a:ext cx="7038975" cy="3067050"/>
        </a:xfrm>
        <a:prstGeom prst="rect">
          <a:avLst/>
        </a:prstGeom>
        <a:noFill/>
        <a:ln w="9525">
          <a:noFill/>
        </a:ln>
      </xdr:spPr>
    </xdr:pic>
    <xdr:clientData/>
  </xdr:twoCellAnchor>
  <xdr:twoCellAnchor editAs="oneCell">
    <xdr:from>
      <xdr:col>0</xdr:col>
      <xdr:colOff>0</xdr:colOff>
      <xdr:row>0</xdr:row>
      <xdr:rowOff>0</xdr:rowOff>
    </xdr:from>
    <xdr:to>
      <xdr:col>10</xdr:col>
      <xdr:colOff>647700</xdr:colOff>
      <xdr:row>17</xdr:row>
      <xdr:rowOff>38100</xdr:rowOff>
    </xdr:to>
    <xdr:pic>
      <xdr:nvPicPr>
        <xdr:cNvPr id="1067" name="ID_905C0933314B45CDBF7D1E6B80C76BA3"/>
        <xdr:cNvPicPr>
          <a:picLocks noChangeAspect="1"/>
        </xdr:cNvPicPr>
      </xdr:nvPicPr>
      <xdr:blipFill>
        <a:blip r:embed="rId670"/>
        <a:stretch>
          <a:fillRect/>
        </a:stretch>
      </xdr:blipFill>
      <xdr:spPr>
        <a:xfrm>
          <a:off x="14921865" y="64917320"/>
          <a:ext cx="7505700" cy="3114675"/>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16</xdr:row>
      <xdr:rowOff>161925</xdr:rowOff>
    </xdr:to>
    <xdr:pic>
      <xdr:nvPicPr>
        <xdr:cNvPr id="1068" name="ID_0B839F6382F54540B45A89CFA45EAD32"/>
        <xdr:cNvPicPr>
          <a:picLocks noChangeAspect="1"/>
        </xdr:cNvPicPr>
      </xdr:nvPicPr>
      <xdr:blipFill>
        <a:blip r:embed="rId671"/>
        <a:stretch>
          <a:fillRect/>
        </a:stretch>
      </xdr:blipFill>
      <xdr:spPr>
        <a:xfrm>
          <a:off x="14921865" y="65336420"/>
          <a:ext cx="7467600" cy="3057525"/>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16</xdr:row>
      <xdr:rowOff>104775</xdr:rowOff>
    </xdr:to>
    <xdr:pic>
      <xdr:nvPicPr>
        <xdr:cNvPr id="1069" name="ID_76CAA733D44E4C059DA85B4F83A2546F"/>
        <xdr:cNvPicPr>
          <a:picLocks noChangeAspect="1"/>
        </xdr:cNvPicPr>
      </xdr:nvPicPr>
      <xdr:blipFill>
        <a:blip r:embed="rId672"/>
        <a:stretch>
          <a:fillRect/>
        </a:stretch>
      </xdr:blipFill>
      <xdr:spPr>
        <a:xfrm>
          <a:off x="14921865" y="75394820"/>
          <a:ext cx="7019925" cy="3000375"/>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152400</xdr:rowOff>
    </xdr:to>
    <xdr:pic>
      <xdr:nvPicPr>
        <xdr:cNvPr id="1070" name="ID_B7CD521725E641B88D0AECAFC588B5C0"/>
        <xdr:cNvPicPr>
          <a:picLocks noChangeAspect="1"/>
        </xdr:cNvPicPr>
      </xdr:nvPicPr>
      <xdr:blipFill>
        <a:blip r:embed="rId673"/>
        <a:stretch>
          <a:fillRect/>
        </a:stretch>
      </xdr:blipFill>
      <xdr:spPr>
        <a:xfrm>
          <a:off x="14921865" y="65755520"/>
          <a:ext cx="7429500" cy="3048000"/>
        </a:xfrm>
        <a:prstGeom prst="rect">
          <a:avLst/>
        </a:prstGeom>
        <a:noFill/>
        <a:ln w="9525">
          <a:noFill/>
        </a:ln>
      </xdr:spPr>
    </xdr:pic>
    <xdr:clientData/>
  </xdr:twoCellAnchor>
  <xdr:twoCellAnchor editAs="oneCell">
    <xdr:from>
      <xdr:col>0</xdr:col>
      <xdr:colOff>0</xdr:colOff>
      <xdr:row>0</xdr:row>
      <xdr:rowOff>0</xdr:rowOff>
    </xdr:from>
    <xdr:to>
      <xdr:col>10</xdr:col>
      <xdr:colOff>571500</xdr:colOff>
      <xdr:row>16</xdr:row>
      <xdr:rowOff>171450</xdr:rowOff>
    </xdr:to>
    <xdr:pic>
      <xdr:nvPicPr>
        <xdr:cNvPr id="1071" name="ID_2FC08F60A75C44099BA229B8E13DDCD8"/>
        <xdr:cNvPicPr>
          <a:picLocks noChangeAspect="1"/>
        </xdr:cNvPicPr>
      </xdr:nvPicPr>
      <xdr:blipFill>
        <a:blip r:embed="rId674"/>
        <a:stretch>
          <a:fillRect/>
        </a:stretch>
      </xdr:blipFill>
      <xdr:spPr>
        <a:xfrm>
          <a:off x="14921865" y="66174620"/>
          <a:ext cx="7429500" cy="3067050"/>
        </a:xfrm>
        <a:prstGeom prst="rect">
          <a:avLst/>
        </a:prstGeom>
        <a:noFill/>
        <a:ln w="9525">
          <a:noFill/>
        </a:ln>
      </xdr:spPr>
    </xdr:pic>
    <xdr:clientData/>
  </xdr:twoCellAnchor>
  <xdr:twoCellAnchor editAs="oneCell">
    <xdr:from>
      <xdr:col>0</xdr:col>
      <xdr:colOff>0</xdr:colOff>
      <xdr:row>0</xdr:row>
      <xdr:rowOff>0</xdr:rowOff>
    </xdr:from>
    <xdr:to>
      <xdr:col>10</xdr:col>
      <xdr:colOff>161925</xdr:colOff>
      <xdr:row>17</xdr:row>
      <xdr:rowOff>57150</xdr:rowOff>
    </xdr:to>
    <xdr:pic>
      <xdr:nvPicPr>
        <xdr:cNvPr id="1072" name="ID_558DE82170504CB398F8E02C092DEB08"/>
        <xdr:cNvPicPr>
          <a:picLocks noChangeAspect="1"/>
        </xdr:cNvPicPr>
      </xdr:nvPicPr>
      <xdr:blipFill>
        <a:blip r:embed="rId675"/>
        <a:stretch>
          <a:fillRect/>
        </a:stretch>
      </xdr:blipFill>
      <xdr:spPr>
        <a:xfrm>
          <a:off x="14921865" y="67012820"/>
          <a:ext cx="7019925" cy="3133725"/>
        </a:xfrm>
        <a:prstGeom prst="rect">
          <a:avLst/>
        </a:prstGeom>
        <a:noFill/>
        <a:ln w="9525">
          <a:noFill/>
        </a:ln>
      </xdr:spPr>
    </xdr:pic>
    <xdr:clientData/>
  </xdr:twoCellAnchor>
  <xdr:twoCellAnchor editAs="oneCell">
    <xdr:from>
      <xdr:col>0</xdr:col>
      <xdr:colOff>0</xdr:colOff>
      <xdr:row>0</xdr:row>
      <xdr:rowOff>0</xdr:rowOff>
    </xdr:from>
    <xdr:to>
      <xdr:col>10</xdr:col>
      <xdr:colOff>123825</xdr:colOff>
      <xdr:row>11</xdr:row>
      <xdr:rowOff>28575</xdr:rowOff>
    </xdr:to>
    <xdr:pic>
      <xdr:nvPicPr>
        <xdr:cNvPr id="1073" name="ID_74370CB718BF445EBA5EAC82E4CA5F85"/>
        <xdr:cNvPicPr>
          <a:picLocks noChangeAspect="1"/>
        </xdr:cNvPicPr>
      </xdr:nvPicPr>
      <xdr:blipFill>
        <a:blip r:embed="rId676"/>
        <a:stretch>
          <a:fillRect/>
        </a:stretch>
      </xdr:blipFill>
      <xdr:spPr>
        <a:xfrm>
          <a:off x="14921865" y="67851020"/>
          <a:ext cx="6981825" cy="2019300"/>
        </a:xfrm>
        <a:prstGeom prst="rect">
          <a:avLst/>
        </a:prstGeom>
        <a:noFill/>
        <a:ln w="9525">
          <a:noFill/>
        </a:ln>
      </xdr:spPr>
    </xdr:pic>
    <xdr:clientData/>
  </xdr:twoCellAnchor>
  <xdr:twoCellAnchor editAs="oneCell">
    <xdr:from>
      <xdr:col>0</xdr:col>
      <xdr:colOff>0</xdr:colOff>
      <xdr:row>0</xdr:row>
      <xdr:rowOff>0</xdr:rowOff>
    </xdr:from>
    <xdr:to>
      <xdr:col>11</xdr:col>
      <xdr:colOff>504825</xdr:colOff>
      <xdr:row>8</xdr:row>
      <xdr:rowOff>152400</xdr:rowOff>
    </xdr:to>
    <xdr:pic>
      <xdr:nvPicPr>
        <xdr:cNvPr id="1074" name="ID_51389441EF0944E7934AE151CF8E77ED"/>
        <xdr:cNvPicPr>
          <a:picLocks noChangeAspect="1"/>
        </xdr:cNvPicPr>
      </xdr:nvPicPr>
      <xdr:blipFill>
        <a:blip r:embed="rId677"/>
        <a:stretch>
          <a:fillRect/>
        </a:stretch>
      </xdr:blipFill>
      <xdr:spPr>
        <a:xfrm>
          <a:off x="14921865" y="68689220"/>
          <a:ext cx="8048625" cy="1600200"/>
        </a:xfrm>
        <a:prstGeom prst="rect">
          <a:avLst/>
        </a:prstGeom>
        <a:noFill/>
        <a:ln w="9525">
          <a:noFill/>
        </a:ln>
      </xdr:spPr>
    </xdr:pic>
    <xdr:clientData/>
  </xdr:twoCellAnchor>
  <xdr:twoCellAnchor editAs="oneCell">
    <xdr:from>
      <xdr:col>0</xdr:col>
      <xdr:colOff>0</xdr:colOff>
      <xdr:row>0</xdr:row>
      <xdr:rowOff>0</xdr:rowOff>
    </xdr:from>
    <xdr:to>
      <xdr:col>10</xdr:col>
      <xdr:colOff>600075</xdr:colOff>
      <xdr:row>16</xdr:row>
      <xdr:rowOff>142875</xdr:rowOff>
    </xdr:to>
    <xdr:pic>
      <xdr:nvPicPr>
        <xdr:cNvPr id="1075" name="ID_4DFB53AC7D054F1A87DB80738D23882E"/>
        <xdr:cNvPicPr>
          <a:picLocks noChangeAspect="1"/>
        </xdr:cNvPicPr>
      </xdr:nvPicPr>
      <xdr:blipFill>
        <a:blip r:embed="rId678"/>
        <a:stretch>
          <a:fillRect/>
        </a:stretch>
      </xdr:blipFill>
      <xdr:spPr>
        <a:xfrm>
          <a:off x="14921865" y="78747620"/>
          <a:ext cx="7458075" cy="3038475"/>
        </a:xfrm>
        <a:prstGeom prst="rect">
          <a:avLst/>
        </a:prstGeom>
        <a:noFill/>
        <a:ln w="9525">
          <a:noFill/>
        </a:ln>
      </xdr:spPr>
    </xdr:pic>
    <xdr:clientData/>
  </xdr:twoCellAnchor>
  <xdr:twoCellAnchor editAs="oneCell">
    <xdr:from>
      <xdr:col>0</xdr:col>
      <xdr:colOff>0</xdr:colOff>
      <xdr:row>0</xdr:row>
      <xdr:rowOff>0</xdr:rowOff>
    </xdr:from>
    <xdr:to>
      <xdr:col>10</xdr:col>
      <xdr:colOff>657225</xdr:colOff>
      <xdr:row>17</xdr:row>
      <xdr:rowOff>95250</xdr:rowOff>
    </xdr:to>
    <xdr:pic>
      <xdr:nvPicPr>
        <xdr:cNvPr id="1076" name="ID_CC504F27848147CE9A25D05479D2C695"/>
        <xdr:cNvPicPr>
          <a:picLocks noChangeAspect="1"/>
        </xdr:cNvPicPr>
      </xdr:nvPicPr>
      <xdr:blipFill>
        <a:blip r:embed="rId679"/>
        <a:stretch>
          <a:fillRect/>
        </a:stretch>
      </xdr:blipFill>
      <xdr:spPr>
        <a:xfrm>
          <a:off x="14921865" y="69108320"/>
          <a:ext cx="7515225" cy="3171825"/>
        </a:xfrm>
        <a:prstGeom prst="rect">
          <a:avLst/>
        </a:prstGeom>
        <a:noFill/>
        <a:ln w="9525">
          <a:noFill/>
        </a:ln>
      </xdr:spPr>
    </xdr:pic>
    <xdr:clientData/>
  </xdr:twoCellAnchor>
  <xdr:twoCellAnchor editAs="oneCell">
    <xdr:from>
      <xdr:col>0</xdr:col>
      <xdr:colOff>0</xdr:colOff>
      <xdr:row>0</xdr:row>
      <xdr:rowOff>0</xdr:rowOff>
    </xdr:from>
    <xdr:to>
      <xdr:col>11</xdr:col>
      <xdr:colOff>485775</xdr:colOff>
      <xdr:row>17</xdr:row>
      <xdr:rowOff>9525</xdr:rowOff>
    </xdr:to>
    <xdr:pic>
      <xdr:nvPicPr>
        <xdr:cNvPr id="1077" name="ID_E3905166CB384248841611A1C9941559"/>
        <xdr:cNvPicPr>
          <a:picLocks noChangeAspect="1"/>
        </xdr:cNvPicPr>
      </xdr:nvPicPr>
      <xdr:blipFill>
        <a:blip r:embed="rId680"/>
        <a:stretch>
          <a:fillRect/>
        </a:stretch>
      </xdr:blipFill>
      <xdr:spPr>
        <a:xfrm>
          <a:off x="14921865" y="70365620"/>
          <a:ext cx="8029575" cy="3086100"/>
        </a:xfrm>
        <a:prstGeom prst="rect">
          <a:avLst/>
        </a:prstGeom>
        <a:noFill/>
        <a:ln w="9525">
          <a:noFill/>
        </a:ln>
      </xdr:spPr>
    </xdr:pic>
    <xdr:clientData/>
  </xdr:twoCellAnchor>
  <xdr:twoCellAnchor editAs="oneCell">
    <xdr:from>
      <xdr:col>0</xdr:col>
      <xdr:colOff>0</xdr:colOff>
      <xdr:row>0</xdr:row>
      <xdr:rowOff>0</xdr:rowOff>
    </xdr:from>
    <xdr:to>
      <xdr:col>10</xdr:col>
      <xdr:colOff>609600</xdr:colOff>
      <xdr:row>17</xdr:row>
      <xdr:rowOff>9525</xdr:rowOff>
    </xdr:to>
    <xdr:pic>
      <xdr:nvPicPr>
        <xdr:cNvPr id="1078" name="ID_E8BD1049555840B78DBC6531AE400192"/>
        <xdr:cNvPicPr>
          <a:picLocks noChangeAspect="1"/>
        </xdr:cNvPicPr>
      </xdr:nvPicPr>
      <xdr:blipFill>
        <a:blip r:embed="rId681"/>
        <a:stretch>
          <a:fillRect/>
        </a:stretch>
      </xdr:blipFill>
      <xdr:spPr>
        <a:xfrm>
          <a:off x="14921865" y="71622920"/>
          <a:ext cx="7467600" cy="3086100"/>
        </a:xfrm>
        <a:prstGeom prst="rect">
          <a:avLst/>
        </a:prstGeom>
        <a:noFill/>
        <a:ln w="9525">
          <a:noFill/>
        </a:ln>
      </xdr:spPr>
    </xdr:pic>
    <xdr:clientData/>
  </xdr:twoCellAnchor>
  <xdr:twoCellAnchor editAs="oneCell">
    <xdr:from>
      <xdr:col>0</xdr:col>
      <xdr:colOff>0</xdr:colOff>
      <xdr:row>0</xdr:row>
      <xdr:rowOff>0</xdr:rowOff>
    </xdr:from>
    <xdr:to>
      <xdr:col>10</xdr:col>
      <xdr:colOff>542925</xdr:colOff>
      <xdr:row>9</xdr:row>
      <xdr:rowOff>0</xdr:rowOff>
    </xdr:to>
    <xdr:pic>
      <xdr:nvPicPr>
        <xdr:cNvPr id="1079" name="ID_CBF79DAABC7D489695F73DC2D69E597D"/>
        <xdr:cNvPicPr>
          <a:picLocks noChangeAspect="1"/>
        </xdr:cNvPicPr>
      </xdr:nvPicPr>
      <xdr:blipFill>
        <a:blip r:embed="rId682"/>
        <a:stretch>
          <a:fillRect/>
        </a:stretch>
      </xdr:blipFill>
      <xdr:spPr>
        <a:xfrm>
          <a:off x="14921865" y="72461120"/>
          <a:ext cx="7400925" cy="1628775"/>
        </a:xfrm>
        <a:prstGeom prst="rect">
          <a:avLst/>
        </a:prstGeom>
        <a:noFill/>
        <a:ln w="9525">
          <a:noFill/>
        </a:ln>
      </xdr:spPr>
    </xdr:pic>
    <xdr:clientData/>
  </xdr:twoCellAnchor>
  <xdr:twoCellAnchor editAs="oneCell">
    <xdr:from>
      <xdr:col>0</xdr:col>
      <xdr:colOff>0</xdr:colOff>
      <xdr:row>0</xdr:row>
      <xdr:rowOff>0</xdr:rowOff>
    </xdr:from>
    <xdr:to>
      <xdr:col>11</xdr:col>
      <xdr:colOff>438150</xdr:colOff>
      <xdr:row>16</xdr:row>
      <xdr:rowOff>161925</xdr:rowOff>
    </xdr:to>
    <xdr:pic>
      <xdr:nvPicPr>
        <xdr:cNvPr id="1080" name="ID_DC703AFA53ED482E899596DC645246DF"/>
        <xdr:cNvPicPr>
          <a:picLocks noChangeAspect="1"/>
        </xdr:cNvPicPr>
      </xdr:nvPicPr>
      <xdr:blipFill>
        <a:blip r:embed="rId683"/>
        <a:stretch>
          <a:fillRect/>
        </a:stretch>
      </xdr:blipFill>
      <xdr:spPr>
        <a:xfrm>
          <a:off x="14921865" y="82519520"/>
          <a:ext cx="7981950" cy="3057525"/>
        </a:xfrm>
        <a:prstGeom prst="rect">
          <a:avLst/>
        </a:prstGeom>
        <a:noFill/>
        <a:ln w="9525">
          <a:noFill/>
        </a:ln>
      </xdr:spPr>
    </xdr:pic>
    <xdr:clientData/>
  </xdr:twoCellAnchor>
  <xdr:twoCellAnchor editAs="oneCell">
    <xdr:from>
      <xdr:col>0</xdr:col>
      <xdr:colOff>0</xdr:colOff>
      <xdr:row>0</xdr:row>
      <xdr:rowOff>0</xdr:rowOff>
    </xdr:from>
    <xdr:to>
      <xdr:col>10</xdr:col>
      <xdr:colOff>171450</xdr:colOff>
      <xdr:row>17</xdr:row>
      <xdr:rowOff>66675</xdr:rowOff>
    </xdr:to>
    <xdr:pic>
      <xdr:nvPicPr>
        <xdr:cNvPr id="1081" name="ID_9D44FEA6B7234D09AEB82584433DC360"/>
        <xdr:cNvPicPr>
          <a:picLocks noChangeAspect="1"/>
        </xdr:cNvPicPr>
      </xdr:nvPicPr>
      <xdr:blipFill>
        <a:blip r:embed="rId684"/>
        <a:stretch>
          <a:fillRect/>
        </a:stretch>
      </xdr:blipFill>
      <xdr:spPr>
        <a:xfrm>
          <a:off x="14921865" y="72880220"/>
          <a:ext cx="7029450" cy="3143250"/>
        </a:xfrm>
        <a:prstGeom prst="rect">
          <a:avLst/>
        </a:prstGeom>
        <a:noFill/>
        <a:ln w="9525">
          <a:noFill/>
        </a:ln>
      </xdr:spPr>
    </xdr:pic>
    <xdr:clientData/>
  </xdr:twoCellAnchor>
  <xdr:twoCellAnchor editAs="oneCell">
    <xdr:from>
      <xdr:col>0</xdr:col>
      <xdr:colOff>0</xdr:colOff>
      <xdr:row>0</xdr:row>
      <xdr:rowOff>0</xdr:rowOff>
    </xdr:from>
    <xdr:to>
      <xdr:col>10</xdr:col>
      <xdr:colOff>152400</xdr:colOff>
      <xdr:row>17</xdr:row>
      <xdr:rowOff>28575</xdr:rowOff>
    </xdr:to>
    <xdr:pic>
      <xdr:nvPicPr>
        <xdr:cNvPr id="1082" name="ID_D99806BDAC36495AA35F493C29A27794"/>
        <xdr:cNvPicPr>
          <a:picLocks noChangeAspect="1"/>
        </xdr:cNvPicPr>
      </xdr:nvPicPr>
      <xdr:blipFill>
        <a:blip r:embed="rId685"/>
        <a:stretch>
          <a:fillRect/>
        </a:stretch>
      </xdr:blipFill>
      <xdr:spPr>
        <a:xfrm>
          <a:off x="14921865" y="73299320"/>
          <a:ext cx="7010400" cy="3105150"/>
        </a:xfrm>
        <a:prstGeom prst="rect">
          <a:avLst/>
        </a:prstGeom>
        <a:noFill/>
        <a:ln w="9525">
          <a:noFill/>
        </a:ln>
      </xdr:spPr>
    </xdr:pic>
    <xdr:clientData/>
  </xdr:twoCellAnchor>
  <xdr:twoCellAnchor editAs="oneCell">
    <xdr:from>
      <xdr:col>0</xdr:col>
      <xdr:colOff>0</xdr:colOff>
      <xdr:row>0</xdr:row>
      <xdr:rowOff>0</xdr:rowOff>
    </xdr:from>
    <xdr:to>
      <xdr:col>10</xdr:col>
      <xdr:colOff>209550</xdr:colOff>
      <xdr:row>6</xdr:row>
      <xdr:rowOff>161925</xdr:rowOff>
    </xdr:to>
    <xdr:pic>
      <xdr:nvPicPr>
        <xdr:cNvPr id="1083" name="ID_5DE7288839D443A2A588724A84B5F90D"/>
        <xdr:cNvPicPr>
          <a:picLocks noChangeAspect="1"/>
        </xdr:cNvPicPr>
      </xdr:nvPicPr>
      <xdr:blipFill>
        <a:blip r:embed="rId686"/>
        <a:stretch>
          <a:fillRect/>
        </a:stretch>
      </xdr:blipFill>
      <xdr:spPr>
        <a:xfrm>
          <a:off x="15007590" y="74204195"/>
          <a:ext cx="7067550" cy="1247775"/>
        </a:xfrm>
        <a:prstGeom prst="rect">
          <a:avLst/>
        </a:prstGeom>
        <a:noFill/>
        <a:ln w="9525">
          <a:noFill/>
        </a:ln>
      </xdr:spPr>
    </xdr:pic>
    <xdr:clientData/>
  </xdr:twoCellAnchor>
  <xdr:twoCellAnchor editAs="oneCell">
    <xdr:from>
      <xdr:col>0</xdr:col>
      <xdr:colOff>0</xdr:colOff>
      <xdr:row>0</xdr:row>
      <xdr:rowOff>0</xdr:rowOff>
    </xdr:from>
    <xdr:to>
      <xdr:col>10</xdr:col>
      <xdr:colOff>209550</xdr:colOff>
      <xdr:row>6</xdr:row>
      <xdr:rowOff>161925</xdr:rowOff>
    </xdr:to>
    <xdr:pic>
      <xdr:nvPicPr>
        <xdr:cNvPr id="1084" name="ID_E416E7105DA14593B9DC4CB09E646F8B"/>
        <xdr:cNvPicPr>
          <a:picLocks noChangeAspect="1"/>
        </xdr:cNvPicPr>
      </xdr:nvPicPr>
      <xdr:blipFill>
        <a:blip r:embed="rId687"/>
        <a:stretch>
          <a:fillRect/>
        </a:stretch>
      </xdr:blipFill>
      <xdr:spPr>
        <a:xfrm>
          <a:off x="14921865" y="75813920"/>
          <a:ext cx="7067550" cy="1247775"/>
        </a:xfrm>
        <a:prstGeom prst="rect">
          <a:avLst/>
        </a:prstGeom>
        <a:noFill/>
        <a:ln w="9525">
          <a:noFill/>
        </a:ln>
      </xdr:spPr>
    </xdr:pic>
    <xdr:clientData/>
  </xdr:twoCellAnchor>
  <xdr:twoCellAnchor editAs="oneCell">
    <xdr:from>
      <xdr:col>0</xdr:col>
      <xdr:colOff>0</xdr:colOff>
      <xdr:row>0</xdr:row>
      <xdr:rowOff>0</xdr:rowOff>
    </xdr:from>
    <xdr:to>
      <xdr:col>10</xdr:col>
      <xdr:colOff>638175</xdr:colOff>
      <xdr:row>17</xdr:row>
      <xdr:rowOff>0</xdr:rowOff>
    </xdr:to>
    <xdr:pic>
      <xdr:nvPicPr>
        <xdr:cNvPr id="1085" name="ID_7876744764694820A2EEB97B0EF862A6"/>
        <xdr:cNvPicPr>
          <a:picLocks noChangeAspect="1"/>
        </xdr:cNvPicPr>
      </xdr:nvPicPr>
      <xdr:blipFill>
        <a:blip r:embed="rId688"/>
        <a:stretch>
          <a:fillRect/>
        </a:stretch>
      </xdr:blipFill>
      <xdr:spPr>
        <a:xfrm>
          <a:off x="14921865" y="77071220"/>
          <a:ext cx="7496175" cy="3076575"/>
        </a:xfrm>
        <a:prstGeom prst="rect">
          <a:avLst/>
        </a:prstGeom>
        <a:noFill/>
        <a:ln w="9525">
          <a:noFill/>
        </a:ln>
      </xdr:spPr>
    </xdr:pic>
    <xdr:clientData/>
  </xdr:twoCellAnchor>
  <xdr:twoCellAnchor editAs="oneCell">
    <xdr:from>
      <xdr:col>0</xdr:col>
      <xdr:colOff>0</xdr:colOff>
      <xdr:row>0</xdr:row>
      <xdr:rowOff>0</xdr:rowOff>
    </xdr:from>
    <xdr:to>
      <xdr:col>10</xdr:col>
      <xdr:colOff>628650</xdr:colOff>
      <xdr:row>17</xdr:row>
      <xdr:rowOff>57150</xdr:rowOff>
    </xdr:to>
    <xdr:pic>
      <xdr:nvPicPr>
        <xdr:cNvPr id="1086" name="ID_F4E9E2D9C2ED4E8BAA1E935B6EF297D1"/>
        <xdr:cNvPicPr>
          <a:picLocks noChangeAspect="1"/>
        </xdr:cNvPicPr>
      </xdr:nvPicPr>
      <xdr:blipFill>
        <a:blip r:embed="rId689"/>
        <a:stretch>
          <a:fillRect/>
        </a:stretch>
      </xdr:blipFill>
      <xdr:spPr>
        <a:xfrm>
          <a:off x="14921865" y="77490320"/>
          <a:ext cx="7486650" cy="3133725"/>
        </a:xfrm>
        <a:prstGeom prst="rect">
          <a:avLst/>
        </a:prstGeom>
        <a:noFill/>
        <a:ln w="9525">
          <a:noFill/>
        </a:ln>
      </xdr:spPr>
    </xdr:pic>
    <xdr:clientData/>
  </xdr:twoCellAnchor>
  <xdr:twoCellAnchor editAs="oneCell">
    <xdr:from>
      <xdr:col>0</xdr:col>
      <xdr:colOff>0</xdr:colOff>
      <xdr:row>0</xdr:row>
      <xdr:rowOff>0</xdr:rowOff>
    </xdr:from>
    <xdr:to>
      <xdr:col>11</xdr:col>
      <xdr:colOff>476250</xdr:colOff>
      <xdr:row>17</xdr:row>
      <xdr:rowOff>57150</xdr:rowOff>
    </xdr:to>
    <xdr:pic>
      <xdr:nvPicPr>
        <xdr:cNvPr id="1087" name="ID_0DF5AB16EDCA4251B1230FD904203B2E"/>
        <xdr:cNvPicPr>
          <a:picLocks noChangeAspect="1"/>
        </xdr:cNvPicPr>
      </xdr:nvPicPr>
      <xdr:blipFill>
        <a:blip r:embed="rId690"/>
        <a:stretch>
          <a:fillRect/>
        </a:stretch>
      </xdr:blipFill>
      <xdr:spPr>
        <a:xfrm>
          <a:off x="14921865" y="78328520"/>
          <a:ext cx="8020050" cy="3133725"/>
        </a:xfrm>
        <a:prstGeom prst="rect">
          <a:avLst/>
        </a:prstGeom>
        <a:noFill/>
        <a:ln w="9525">
          <a:noFill/>
        </a:ln>
      </xdr:spPr>
    </xdr:pic>
    <xdr:clientData/>
  </xdr:twoCellAnchor>
  <xdr:twoCellAnchor editAs="oneCell">
    <xdr:from>
      <xdr:col>0</xdr:col>
      <xdr:colOff>0</xdr:colOff>
      <xdr:row>0</xdr:row>
      <xdr:rowOff>0</xdr:rowOff>
    </xdr:from>
    <xdr:to>
      <xdr:col>10</xdr:col>
      <xdr:colOff>666750</xdr:colOff>
      <xdr:row>17</xdr:row>
      <xdr:rowOff>0</xdr:rowOff>
    </xdr:to>
    <xdr:pic>
      <xdr:nvPicPr>
        <xdr:cNvPr id="1088" name="ID_9CCB0B71CFA941C4B165BED749CD1023"/>
        <xdr:cNvPicPr>
          <a:picLocks noChangeAspect="1"/>
        </xdr:cNvPicPr>
      </xdr:nvPicPr>
      <xdr:blipFill>
        <a:blip r:embed="rId691"/>
        <a:stretch>
          <a:fillRect/>
        </a:stretch>
      </xdr:blipFill>
      <xdr:spPr>
        <a:xfrm>
          <a:off x="14921865" y="79166720"/>
          <a:ext cx="7524750" cy="3076575"/>
        </a:xfrm>
        <a:prstGeom prst="rect">
          <a:avLst/>
        </a:prstGeom>
        <a:noFill/>
        <a:ln w="9525">
          <a:noFill/>
        </a:ln>
      </xdr:spPr>
    </xdr:pic>
    <xdr:clientData/>
  </xdr:twoCellAnchor>
  <xdr:twoCellAnchor editAs="oneCell">
    <xdr:from>
      <xdr:col>0</xdr:col>
      <xdr:colOff>0</xdr:colOff>
      <xdr:row>0</xdr:row>
      <xdr:rowOff>0</xdr:rowOff>
    </xdr:from>
    <xdr:to>
      <xdr:col>10</xdr:col>
      <xdr:colOff>590550</xdr:colOff>
      <xdr:row>17</xdr:row>
      <xdr:rowOff>28575</xdr:rowOff>
    </xdr:to>
    <xdr:pic>
      <xdr:nvPicPr>
        <xdr:cNvPr id="1089" name="ID_9CFF30A22ABE40E099428F770199EBAE"/>
        <xdr:cNvPicPr>
          <a:picLocks noChangeAspect="1"/>
        </xdr:cNvPicPr>
      </xdr:nvPicPr>
      <xdr:blipFill>
        <a:blip r:embed="rId692"/>
        <a:stretch>
          <a:fillRect/>
        </a:stretch>
      </xdr:blipFill>
      <xdr:spPr>
        <a:xfrm>
          <a:off x="14921865" y="79585820"/>
          <a:ext cx="7448550" cy="3105150"/>
        </a:xfrm>
        <a:prstGeom prst="rect">
          <a:avLst/>
        </a:prstGeom>
        <a:noFill/>
        <a:ln w="9525">
          <a:noFill/>
        </a:ln>
      </xdr:spPr>
    </xdr:pic>
    <xdr:clientData/>
  </xdr:twoCellAnchor>
  <xdr:twoCellAnchor editAs="oneCell">
    <xdr:from>
      <xdr:col>0</xdr:col>
      <xdr:colOff>0</xdr:colOff>
      <xdr:row>0</xdr:row>
      <xdr:rowOff>0</xdr:rowOff>
    </xdr:from>
    <xdr:to>
      <xdr:col>10</xdr:col>
      <xdr:colOff>581025</xdr:colOff>
      <xdr:row>16</xdr:row>
      <xdr:rowOff>142875</xdr:rowOff>
    </xdr:to>
    <xdr:pic>
      <xdr:nvPicPr>
        <xdr:cNvPr id="1090" name="ID_0C8A0845BF1E4993AA98F7F2C8CF71E2"/>
        <xdr:cNvPicPr>
          <a:picLocks noChangeAspect="1"/>
        </xdr:cNvPicPr>
      </xdr:nvPicPr>
      <xdr:blipFill>
        <a:blip r:embed="rId693"/>
        <a:stretch>
          <a:fillRect/>
        </a:stretch>
      </xdr:blipFill>
      <xdr:spPr>
        <a:xfrm>
          <a:off x="14921865" y="80004920"/>
          <a:ext cx="7439025" cy="3038475"/>
        </a:xfrm>
        <a:prstGeom prst="rect">
          <a:avLst/>
        </a:prstGeom>
        <a:noFill/>
        <a:ln w="9525">
          <a:noFill/>
        </a:ln>
      </xdr:spPr>
    </xdr:pic>
    <xdr:clientData/>
  </xdr:twoCellAnchor>
  <xdr:twoCellAnchor editAs="oneCell">
    <xdr:from>
      <xdr:col>0</xdr:col>
      <xdr:colOff>0</xdr:colOff>
      <xdr:row>0</xdr:row>
      <xdr:rowOff>0</xdr:rowOff>
    </xdr:from>
    <xdr:to>
      <xdr:col>11</xdr:col>
      <xdr:colOff>495300</xdr:colOff>
      <xdr:row>16</xdr:row>
      <xdr:rowOff>152400</xdr:rowOff>
    </xdr:to>
    <xdr:pic>
      <xdr:nvPicPr>
        <xdr:cNvPr id="1091" name="ID_755AA270800B469B965A8ED954C27561"/>
        <xdr:cNvPicPr>
          <a:picLocks noChangeAspect="1"/>
        </xdr:cNvPicPr>
      </xdr:nvPicPr>
      <xdr:blipFill>
        <a:blip r:embed="rId694"/>
        <a:stretch>
          <a:fillRect/>
        </a:stretch>
      </xdr:blipFill>
      <xdr:spPr>
        <a:xfrm>
          <a:off x="14921865" y="80424020"/>
          <a:ext cx="8039100" cy="3048000"/>
        </a:xfrm>
        <a:prstGeom prst="rect">
          <a:avLst/>
        </a:prstGeom>
        <a:noFill/>
        <a:ln w="9525">
          <a:noFill/>
        </a:ln>
      </xdr:spPr>
    </xdr:pic>
    <xdr:clientData/>
  </xdr:twoCellAnchor>
  <xdr:twoCellAnchor editAs="oneCell">
    <xdr:from>
      <xdr:col>0</xdr:col>
      <xdr:colOff>0</xdr:colOff>
      <xdr:row>0</xdr:row>
      <xdr:rowOff>0</xdr:rowOff>
    </xdr:from>
    <xdr:to>
      <xdr:col>11</xdr:col>
      <xdr:colOff>542925</xdr:colOff>
      <xdr:row>11</xdr:row>
      <xdr:rowOff>47625</xdr:rowOff>
    </xdr:to>
    <xdr:pic>
      <xdr:nvPicPr>
        <xdr:cNvPr id="1092" name="ID_6034C9CDD9B34DFE9E843BC424893E2C"/>
        <xdr:cNvPicPr>
          <a:picLocks noChangeAspect="1"/>
        </xdr:cNvPicPr>
      </xdr:nvPicPr>
      <xdr:blipFill>
        <a:blip r:embed="rId695"/>
        <a:stretch>
          <a:fillRect/>
        </a:stretch>
      </xdr:blipFill>
      <xdr:spPr>
        <a:xfrm>
          <a:off x="14921865" y="80843120"/>
          <a:ext cx="8086725" cy="2038350"/>
        </a:xfrm>
        <a:prstGeom prst="rect">
          <a:avLst/>
        </a:prstGeom>
        <a:noFill/>
        <a:ln w="9525">
          <a:noFill/>
        </a:ln>
      </xdr:spPr>
    </xdr:pic>
    <xdr:clientData/>
  </xdr:twoCellAnchor>
  <xdr:twoCellAnchor editAs="oneCell">
    <xdr:from>
      <xdr:col>0</xdr:col>
      <xdr:colOff>0</xdr:colOff>
      <xdr:row>0</xdr:row>
      <xdr:rowOff>0</xdr:rowOff>
    </xdr:from>
    <xdr:to>
      <xdr:col>11</xdr:col>
      <xdr:colOff>542925</xdr:colOff>
      <xdr:row>14</xdr:row>
      <xdr:rowOff>0</xdr:rowOff>
    </xdr:to>
    <xdr:pic>
      <xdr:nvPicPr>
        <xdr:cNvPr id="1093" name="ID_22981E4B82754FECAED8209192CBD996"/>
        <xdr:cNvPicPr>
          <a:picLocks noChangeAspect="1"/>
        </xdr:cNvPicPr>
      </xdr:nvPicPr>
      <xdr:blipFill>
        <a:blip r:embed="rId696"/>
        <a:stretch>
          <a:fillRect/>
        </a:stretch>
      </xdr:blipFill>
      <xdr:spPr>
        <a:xfrm>
          <a:off x="14921865" y="81262220"/>
          <a:ext cx="8086725" cy="2533650"/>
        </a:xfrm>
        <a:prstGeom prst="rect">
          <a:avLst/>
        </a:prstGeom>
        <a:noFill/>
        <a:ln w="9525">
          <a:noFill/>
        </a:ln>
      </xdr:spPr>
    </xdr:pic>
    <xdr:clientData/>
  </xdr:twoCellAnchor>
  <xdr:twoCellAnchor editAs="oneCell">
    <xdr:from>
      <xdr:col>0</xdr:col>
      <xdr:colOff>0</xdr:colOff>
      <xdr:row>0</xdr:row>
      <xdr:rowOff>0</xdr:rowOff>
    </xdr:from>
    <xdr:to>
      <xdr:col>11</xdr:col>
      <xdr:colOff>514350</xdr:colOff>
      <xdr:row>17</xdr:row>
      <xdr:rowOff>85725</xdr:rowOff>
    </xdr:to>
    <xdr:pic>
      <xdr:nvPicPr>
        <xdr:cNvPr id="1094" name="ID_D5427F4822634696AD1F329334C325D8"/>
        <xdr:cNvPicPr>
          <a:picLocks noChangeAspect="1"/>
        </xdr:cNvPicPr>
      </xdr:nvPicPr>
      <xdr:blipFill>
        <a:blip r:embed="rId697"/>
        <a:stretch>
          <a:fillRect/>
        </a:stretch>
      </xdr:blipFill>
      <xdr:spPr>
        <a:xfrm>
          <a:off x="14921865" y="82938620"/>
          <a:ext cx="8058150" cy="3162300"/>
        </a:xfrm>
        <a:prstGeom prst="rect">
          <a:avLst/>
        </a:prstGeom>
        <a:noFill/>
        <a:ln w="9525">
          <a:noFill/>
        </a:ln>
      </xdr:spPr>
    </xdr:pic>
    <xdr:clientData/>
  </xdr:twoCellAnchor>
  <xdr:twoCellAnchor editAs="oneCell">
    <xdr:from>
      <xdr:col>0</xdr:col>
      <xdr:colOff>0</xdr:colOff>
      <xdr:row>0</xdr:row>
      <xdr:rowOff>0</xdr:rowOff>
    </xdr:from>
    <xdr:to>
      <xdr:col>16</xdr:col>
      <xdr:colOff>371475</xdr:colOff>
      <xdr:row>34</xdr:row>
      <xdr:rowOff>133350</xdr:rowOff>
    </xdr:to>
    <xdr:pic>
      <xdr:nvPicPr>
        <xdr:cNvPr id="6" name="ID_EB5C83E3F28F42C081974DCC8038D158"/>
        <xdr:cNvPicPr>
          <a:picLocks noChangeAspect="1"/>
        </xdr:cNvPicPr>
      </xdr:nvPicPr>
      <xdr:blipFill>
        <a:blip r:embed="rId698"/>
        <a:stretch>
          <a:fillRect/>
        </a:stretch>
      </xdr:blipFill>
      <xdr:spPr>
        <a:xfrm>
          <a:off x="12837795" y="186371865"/>
          <a:ext cx="11344275" cy="6286500"/>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comments" Target="../comments2.xml"/></Relationships>
</file>

<file path=xl/worksheets/_rels/sheet3.xml.rels><?xml version="1.0" encoding="UTF-8" standalone="yes"?>
<Relationships xmlns="http://schemas.openxmlformats.org/package/2006/relationships"><Relationship Id="rId2" Type="http://schemas.openxmlformats.org/officeDocument/2006/relationships/vmlDrawing" Target="../drawings/vmlDrawing3.vml"/><Relationship Id="rId1" Type="http://schemas.openxmlformats.org/officeDocument/2006/relationships/comments" Target="../comments3.xml"/></Relationships>
</file>

<file path=xl/worksheets/_rels/sheet4.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comments" Target="../comments4.xml"/></Relationships>
</file>

<file path=xl/worksheets/_rels/sheet5.xml.rels><?xml version="1.0" encoding="UTF-8" standalone="yes"?>
<Relationships xmlns="http://schemas.openxmlformats.org/package/2006/relationships"><Relationship Id="rId2" Type="http://schemas.openxmlformats.org/officeDocument/2006/relationships/vmlDrawing" Target="../drawings/vmlDrawing5.vml"/><Relationship Id="rId1" Type="http://schemas.openxmlformats.org/officeDocument/2006/relationships/comments" Target="../comments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342"/>
  <sheetViews>
    <sheetView tabSelected="1" zoomScale="85" zoomScaleNormal="85" workbookViewId="0">
      <pane ySplit="1" topLeftCell="A2" activePane="bottomLeft" state="frozen"/>
      <selection/>
      <selection pane="bottomLeft" activeCell="D2" sqref="D2"/>
    </sheetView>
  </sheetViews>
  <sheetFormatPr defaultColWidth="45.9" defaultRowHeight="16.5"/>
  <cols>
    <col min="1" max="1" width="20.1416666666667" style="3" customWidth="1"/>
    <col min="2" max="2" width="11" style="3" customWidth="1"/>
    <col min="3" max="3" width="12.625" style="3" customWidth="1"/>
    <col min="4" max="4" width="20.5" style="3" customWidth="1"/>
    <col min="5" max="7" width="11" style="3" hidden="1" customWidth="1"/>
    <col min="8" max="8" width="18.125" style="4" customWidth="1"/>
    <col min="9" max="9" width="16.2" style="4" hidden="1" customWidth="1"/>
    <col min="10" max="10" width="21.3" style="4" hidden="1" customWidth="1"/>
    <col min="11" max="11" width="13.6" style="4" hidden="1" customWidth="1"/>
    <col min="12" max="18" width="11" style="4" hidden="1" customWidth="1"/>
    <col min="19" max="19" width="21.1" style="3" customWidth="1"/>
    <col min="20" max="20" width="12.9" style="4" customWidth="1"/>
    <col min="21" max="21" width="22" style="4" customWidth="1"/>
    <col min="22" max="22" width="9.4" style="4" customWidth="1"/>
    <col min="23" max="23" width="9.7" style="5" customWidth="1"/>
    <col min="24" max="24" width="24.125" style="4" customWidth="1"/>
    <col min="25" max="25" width="13.6" style="4" customWidth="1"/>
    <col min="26" max="26" width="46.75" style="4" customWidth="1"/>
    <col min="27" max="27" width="11.025" style="4" customWidth="1"/>
    <col min="28" max="28" width="45" style="4" customWidth="1"/>
    <col min="29" max="29" width="25.1" style="4" customWidth="1"/>
    <col min="30" max="16384" width="45.9" customWidth="1"/>
  </cols>
  <sheetData>
    <row r="1" s="1" customFormat="1" ht="21" spans="1:29">
      <c r="A1" s="6" t="s">
        <v>0</v>
      </c>
      <c r="B1" s="7" t="s">
        <v>1</v>
      </c>
      <c r="C1" s="7" t="s">
        <v>2</v>
      </c>
      <c r="D1" s="7" t="s">
        <v>3</v>
      </c>
      <c r="E1" s="6" t="s">
        <v>4</v>
      </c>
      <c r="F1" s="6" t="s">
        <v>5</v>
      </c>
      <c r="G1" s="8" t="s">
        <v>6</v>
      </c>
      <c r="H1" s="7" t="s">
        <v>7</v>
      </c>
      <c r="I1" s="6" t="s">
        <v>8</v>
      </c>
      <c r="J1" s="6" t="s">
        <v>9</v>
      </c>
      <c r="K1" s="6" t="s">
        <v>10</v>
      </c>
      <c r="L1" s="6" t="s">
        <v>11</v>
      </c>
      <c r="M1" s="6" t="s">
        <v>12</v>
      </c>
      <c r="N1" s="6" t="s">
        <v>13</v>
      </c>
      <c r="O1" s="6" t="s">
        <v>14</v>
      </c>
      <c r="P1" s="6" t="s">
        <v>15</v>
      </c>
      <c r="Q1" s="6" t="s">
        <v>16</v>
      </c>
      <c r="R1" s="6" t="s">
        <v>17</v>
      </c>
      <c r="S1" s="61" t="s">
        <v>18</v>
      </c>
      <c r="T1" s="21" t="s">
        <v>19</v>
      </c>
      <c r="U1" s="21" t="s">
        <v>20</v>
      </c>
      <c r="V1" s="22" t="s">
        <v>21</v>
      </c>
      <c r="W1" s="22" t="s">
        <v>22</v>
      </c>
      <c r="X1" s="7" t="s">
        <v>23</v>
      </c>
      <c r="Y1" s="7" t="s">
        <v>24</v>
      </c>
      <c r="Z1" s="7" t="s">
        <v>25</v>
      </c>
      <c r="AA1" s="27" t="s">
        <v>26</v>
      </c>
      <c r="AB1" s="27" t="s">
        <v>27</v>
      </c>
      <c r="AC1" s="27" t="s">
        <v>28</v>
      </c>
    </row>
    <row r="2" s="2" customFormat="1" ht="66" spans="1:30">
      <c r="A2" s="10" t="s">
        <v>29</v>
      </c>
      <c r="B2" s="29" t="s">
        <v>30</v>
      </c>
      <c r="C2" s="23" t="s">
        <v>31</v>
      </c>
      <c r="D2" s="23"/>
      <c r="E2" s="23"/>
      <c r="F2" s="23"/>
      <c r="G2" s="35"/>
      <c r="H2" s="23" t="s">
        <v>31</v>
      </c>
      <c r="I2" s="10"/>
      <c r="J2" s="10"/>
      <c r="K2" s="10"/>
      <c r="L2" s="10"/>
      <c r="M2" s="10"/>
      <c r="N2" s="10"/>
      <c r="O2" s="10"/>
      <c r="P2" s="10"/>
      <c r="Q2" s="10"/>
      <c r="R2" s="10"/>
      <c r="S2" s="62" t="s">
        <v>31</v>
      </c>
      <c r="T2" s="4" t="s">
        <v>32</v>
      </c>
      <c r="U2" s="62" t="s">
        <v>31</v>
      </c>
      <c r="V2" s="10" t="s">
        <v>33</v>
      </c>
      <c r="W2" s="10"/>
      <c r="X2" s="62" t="s">
        <v>31</v>
      </c>
      <c r="Y2" s="4" t="s">
        <v>32</v>
      </c>
      <c r="Z2" s="10" t="str">
        <f>_xlfn.DISPIMG("ID_2BB669EB0C534A04865F590A31D338B7",1)</f>
        <v>=DISPIMG("ID_2BB669EB0C534A04865F590A31D338B7",1)</v>
      </c>
      <c r="AA2" s="10" t="s">
        <v>34</v>
      </c>
      <c r="AB2" s="10" t="s">
        <v>35</v>
      </c>
      <c r="AC2" s="10" t="s">
        <v>36</v>
      </c>
      <c r="AD2" s="54"/>
    </row>
    <row r="3" s="2" customFormat="1" ht="66" spans="1:30">
      <c r="A3" s="10" t="s">
        <v>29</v>
      </c>
      <c r="B3" s="29" t="s">
        <v>30</v>
      </c>
      <c r="C3" s="23" t="s">
        <v>37</v>
      </c>
      <c r="D3" s="23"/>
      <c r="E3" s="23"/>
      <c r="F3" s="23"/>
      <c r="G3" s="35"/>
      <c r="H3" s="23" t="s">
        <v>37</v>
      </c>
      <c r="I3" s="10"/>
      <c r="J3" s="10"/>
      <c r="K3" s="10"/>
      <c r="L3" s="10"/>
      <c r="M3" s="10"/>
      <c r="N3" s="10"/>
      <c r="O3" s="10"/>
      <c r="P3" s="10"/>
      <c r="Q3" s="10"/>
      <c r="R3" s="10"/>
      <c r="S3" s="62" t="s">
        <v>37</v>
      </c>
      <c r="T3" s="4" t="s">
        <v>32</v>
      </c>
      <c r="U3" s="62" t="s">
        <v>37</v>
      </c>
      <c r="V3" s="10" t="s">
        <v>33</v>
      </c>
      <c r="W3" s="10"/>
      <c r="X3" s="62" t="s">
        <v>37</v>
      </c>
      <c r="Y3" s="4" t="s">
        <v>32</v>
      </c>
      <c r="Z3" s="10" t="str">
        <f>_xlfn.DISPIMG("ID_F7E9C7541FC048059E711DF721C9A92C",1)</f>
        <v>=DISPIMG("ID_F7E9C7541FC048059E711DF721C9A92C",1)</v>
      </c>
      <c r="AA3" s="10" t="s">
        <v>34</v>
      </c>
      <c r="AB3" s="10" t="s">
        <v>38</v>
      </c>
      <c r="AC3" s="10" t="s">
        <v>36</v>
      </c>
      <c r="AD3" s="54"/>
    </row>
    <row r="4" s="2" customFormat="1" ht="66" spans="1:30">
      <c r="A4" s="10" t="s">
        <v>29</v>
      </c>
      <c r="B4" s="29" t="s">
        <v>30</v>
      </c>
      <c r="C4" s="29" t="s">
        <v>39</v>
      </c>
      <c r="D4" s="10" t="s">
        <v>40</v>
      </c>
      <c r="E4" s="23"/>
      <c r="F4" s="23"/>
      <c r="G4" s="35"/>
      <c r="H4" s="10" t="s">
        <v>40</v>
      </c>
      <c r="I4" s="10"/>
      <c r="J4" s="10"/>
      <c r="K4" s="10"/>
      <c r="L4" s="10"/>
      <c r="M4" s="10"/>
      <c r="N4" s="10"/>
      <c r="O4" s="10"/>
      <c r="P4" s="10"/>
      <c r="Q4" s="10"/>
      <c r="R4" s="10"/>
      <c r="S4" s="63" t="s">
        <v>40</v>
      </c>
      <c r="T4" s="4" t="s">
        <v>32</v>
      </c>
      <c r="U4" s="63" t="s">
        <v>40</v>
      </c>
      <c r="V4" s="10" t="s">
        <v>33</v>
      </c>
      <c r="W4" s="10"/>
      <c r="X4" s="63" t="s">
        <v>40</v>
      </c>
      <c r="Y4" s="4" t="s">
        <v>32</v>
      </c>
      <c r="Z4" s="10" t="str">
        <f>_xlfn.DISPIMG("ID_78CECC7A8E114B73A8B0C41FAC1339FE",1)</f>
        <v>=DISPIMG("ID_78CECC7A8E114B73A8B0C41FAC1339FE",1)</v>
      </c>
      <c r="AA4" s="10" t="s">
        <v>34</v>
      </c>
      <c r="AB4" s="10" t="s">
        <v>41</v>
      </c>
      <c r="AC4" s="10" t="s">
        <v>36</v>
      </c>
      <c r="AD4" s="54"/>
    </row>
    <row r="5" s="2" customFormat="1" ht="66" spans="1:29">
      <c r="A5" s="10" t="s">
        <v>29</v>
      </c>
      <c r="B5" s="29" t="s">
        <v>30</v>
      </c>
      <c r="C5" s="29" t="s">
        <v>39</v>
      </c>
      <c r="D5" s="10" t="s">
        <v>42</v>
      </c>
      <c r="E5" s="23"/>
      <c r="F5" s="23"/>
      <c r="G5" s="35"/>
      <c r="H5" s="10" t="s">
        <v>42</v>
      </c>
      <c r="I5" s="10"/>
      <c r="J5" s="10"/>
      <c r="K5" s="10"/>
      <c r="L5" s="10"/>
      <c r="M5" s="10"/>
      <c r="N5" s="10"/>
      <c r="O5" s="10"/>
      <c r="P5" s="10"/>
      <c r="Q5" s="10"/>
      <c r="R5" s="10"/>
      <c r="S5" s="63" t="s">
        <v>42</v>
      </c>
      <c r="T5" s="4" t="s">
        <v>32</v>
      </c>
      <c r="U5" s="63" t="s">
        <v>42</v>
      </c>
      <c r="V5" s="10" t="s">
        <v>33</v>
      </c>
      <c r="W5" s="23"/>
      <c r="X5" s="63" t="s">
        <v>42</v>
      </c>
      <c r="Y5" s="4" t="s">
        <v>32</v>
      </c>
      <c r="Z5" s="10" t="str">
        <f>_xlfn.DISPIMG("ID_9B717E3E63D34BCD946069261F1DCCB3",1)</f>
        <v>=DISPIMG("ID_9B717E3E63D34BCD946069261F1DCCB3",1)</v>
      </c>
      <c r="AA5" s="10" t="s">
        <v>34</v>
      </c>
      <c r="AB5" s="10" t="s">
        <v>43</v>
      </c>
      <c r="AC5" s="10" t="s">
        <v>36</v>
      </c>
    </row>
    <row r="6" s="2" customFormat="1" ht="68.05" spans="1:29">
      <c r="A6" s="10" t="s">
        <v>29</v>
      </c>
      <c r="B6" s="29" t="s">
        <v>30</v>
      </c>
      <c r="C6" s="29" t="s">
        <v>39</v>
      </c>
      <c r="D6" s="10" t="s">
        <v>44</v>
      </c>
      <c r="E6" s="23"/>
      <c r="F6" s="23"/>
      <c r="G6" s="35"/>
      <c r="H6" s="10" t="s">
        <v>44</v>
      </c>
      <c r="I6" s="10"/>
      <c r="J6" s="10"/>
      <c r="K6" s="10"/>
      <c r="L6" s="10"/>
      <c r="M6" s="10"/>
      <c r="N6" s="10"/>
      <c r="O6" s="10"/>
      <c r="P6" s="10"/>
      <c r="Q6" s="10"/>
      <c r="R6" s="10"/>
      <c r="S6" s="62" t="s">
        <v>45</v>
      </c>
      <c r="T6" s="4" t="s">
        <v>32</v>
      </c>
      <c r="U6" s="62" t="s">
        <v>45</v>
      </c>
      <c r="V6" s="10" t="s">
        <v>33</v>
      </c>
      <c r="W6" s="23"/>
      <c r="X6" s="62" t="s">
        <v>45</v>
      </c>
      <c r="Y6" s="4" t="s">
        <v>32</v>
      </c>
      <c r="Z6" s="10" t="str">
        <f>_xlfn.DISPIMG("ID_30C636CB88B84079BE060BFCD26F99EB",1)</f>
        <v>=DISPIMG("ID_30C636CB88B84079BE060BFCD26F99EB",1)</v>
      </c>
      <c r="AA6" s="10" t="s">
        <v>34</v>
      </c>
      <c r="AB6" s="10" t="s">
        <v>46</v>
      </c>
      <c r="AC6" s="10" t="s">
        <v>36</v>
      </c>
    </row>
    <row r="7" s="2" customFormat="1" ht="67.6" spans="1:29">
      <c r="A7" s="10" t="s">
        <v>29</v>
      </c>
      <c r="B7" s="29" t="s">
        <v>30</v>
      </c>
      <c r="C7" s="29" t="s">
        <v>39</v>
      </c>
      <c r="D7" s="10" t="s">
        <v>44</v>
      </c>
      <c r="E7" s="23"/>
      <c r="F7" s="23"/>
      <c r="G7" s="35"/>
      <c r="H7" s="10"/>
      <c r="I7" s="10"/>
      <c r="J7" s="10"/>
      <c r="K7" s="10"/>
      <c r="L7" s="10"/>
      <c r="M7" s="10"/>
      <c r="N7" s="10"/>
      <c r="O7" s="10"/>
      <c r="P7" s="10"/>
      <c r="Q7" s="10"/>
      <c r="R7" s="10"/>
      <c r="S7" s="62" t="s">
        <v>47</v>
      </c>
      <c r="T7" s="4" t="s">
        <v>32</v>
      </c>
      <c r="U7" s="62" t="s">
        <v>47</v>
      </c>
      <c r="V7" s="10" t="s">
        <v>33</v>
      </c>
      <c r="W7" s="23"/>
      <c r="X7" s="62" t="s">
        <v>47</v>
      </c>
      <c r="Y7" s="4" t="s">
        <v>32</v>
      </c>
      <c r="Z7" s="10" t="str">
        <f>_xlfn.DISPIMG("ID_5C5E13FF94344CB39C8DB1E59894CF6A",1)</f>
        <v>=DISPIMG("ID_5C5E13FF94344CB39C8DB1E59894CF6A",1)</v>
      </c>
      <c r="AA7" s="10" t="s">
        <v>34</v>
      </c>
      <c r="AB7" s="10" t="s">
        <v>48</v>
      </c>
      <c r="AC7" s="10" t="s">
        <v>36</v>
      </c>
    </row>
    <row r="8" s="2" customFormat="1" ht="70.95" spans="1:29">
      <c r="A8" s="10" t="s">
        <v>29</v>
      </c>
      <c r="B8" s="29" t="s">
        <v>30</v>
      </c>
      <c r="C8" s="29" t="s">
        <v>39</v>
      </c>
      <c r="D8" s="10" t="s">
        <v>44</v>
      </c>
      <c r="E8" s="23"/>
      <c r="F8" s="23"/>
      <c r="G8" s="35"/>
      <c r="H8" s="10"/>
      <c r="I8" s="10"/>
      <c r="J8" s="10"/>
      <c r="K8" s="10"/>
      <c r="L8" s="10"/>
      <c r="M8" s="10"/>
      <c r="N8" s="10"/>
      <c r="O8" s="10"/>
      <c r="P8" s="10"/>
      <c r="Q8" s="10"/>
      <c r="R8" s="10"/>
      <c r="S8" s="62" t="s">
        <v>49</v>
      </c>
      <c r="T8" s="4" t="s">
        <v>32</v>
      </c>
      <c r="U8" s="62" t="s">
        <v>49</v>
      </c>
      <c r="V8" s="10" t="s">
        <v>33</v>
      </c>
      <c r="W8" s="23"/>
      <c r="X8" s="62" t="s">
        <v>49</v>
      </c>
      <c r="Y8" s="4" t="s">
        <v>32</v>
      </c>
      <c r="Z8" s="10" t="str">
        <f>_xlfn.DISPIMG("ID_B80ABBAA94BF4E1B8EDFA2B4FEEED450",1)</f>
        <v>=DISPIMG("ID_B80ABBAA94BF4E1B8EDFA2B4FEEED450",1)</v>
      </c>
      <c r="AA8" s="10" t="s">
        <v>34</v>
      </c>
      <c r="AB8" s="10" t="s">
        <v>50</v>
      </c>
      <c r="AC8" s="10" t="s">
        <v>36</v>
      </c>
    </row>
    <row r="9" s="2" customFormat="1" ht="67.7" spans="1:29">
      <c r="A9" s="10" t="s">
        <v>29</v>
      </c>
      <c r="B9" s="29" t="s">
        <v>30</v>
      </c>
      <c r="C9" s="29" t="s">
        <v>39</v>
      </c>
      <c r="D9" s="10" t="s">
        <v>44</v>
      </c>
      <c r="E9" s="23"/>
      <c r="F9" s="23"/>
      <c r="G9" s="35"/>
      <c r="H9" s="10"/>
      <c r="I9" s="10"/>
      <c r="J9" s="10"/>
      <c r="K9" s="10"/>
      <c r="L9" s="10"/>
      <c r="M9" s="10"/>
      <c r="N9" s="10"/>
      <c r="O9" s="10"/>
      <c r="P9" s="10"/>
      <c r="Q9" s="10"/>
      <c r="R9" s="10"/>
      <c r="S9" s="62" t="s">
        <v>51</v>
      </c>
      <c r="T9" s="4" t="s">
        <v>32</v>
      </c>
      <c r="U9" s="62" t="s">
        <v>51</v>
      </c>
      <c r="V9" s="10" t="s">
        <v>33</v>
      </c>
      <c r="W9" s="23"/>
      <c r="X9" s="62" t="s">
        <v>51</v>
      </c>
      <c r="Y9" s="4" t="s">
        <v>32</v>
      </c>
      <c r="Z9" s="10" t="str">
        <f>_xlfn.DISPIMG("ID_C306D3B252CD43DBB44FB8F714185D77",1)</f>
        <v>=DISPIMG("ID_C306D3B252CD43DBB44FB8F714185D77",1)</v>
      </c>
      <c r="AA9" s="10" t="s">
        <v>34</v>
      </c>
      <c r="AB9" s="10" t="s">
        <v>52</v>
      </c>
      <c r="AC9" s="10" t="s">
        <v>36</v>
      </c>
    </row>
    <row r="10" s="2" customFormat="1" ht="68.85" spans="1:29">
      <c r="A10" s="10" t="s">
        <v>29</v>
      </c>
      <c r="B10" s="28" t="s">
        <v>53</v>
      </c>
      <c r="C10" s="28" t="s">
        <v>54</v>
      </c>
      <c r="D10" s="29" t="s">
        <v>55</v>
      </c>
      <c r="E10" s="23"/>
      <c r="F10" s="23"/>
      <c r="G10" s="35"/>
      <c r="H10" s="29" t="s">
        <v>55</v>
      </c>
      <c r="I10" s="10"/>
      <c r="J10" s="10"/>
      <c r="K10" s="10"/>
      <c r="L10" s="10"/>
      <c r="M10" s="10"/>
      <c r="N10" s="10"/>
      <c r="O10" s="10"/>
      <c r="P10" s="10"/>
      <c r="Q10" s="10"/>
      <c r="R10" s="10"/>
      <c r="S10" s="63" t="s">
        <v>55</v>
      </c>
      <c r="T10" s="4" t="s">
        <v>32</v>
      </c>
      <c r="U10" s="63" t="s">
        <v>55</v>
      </c>
      <c r="V10" s="10" t="s">
        <v>33</v>
      </c>
      <c r="W10" s="23"/>
      <c r="X10" s="63" t="s">
        <v>55</v>
      </c>
      <c r="Y10" s="4" t="s">
        <v>32</v>
      </c>
      <c r="Z10" s="10" t="str">
        <f>_xlfn.DISPIMG("ID_D7DF84CC582E48AF9E2DAD7793756353",1)</f>
        <v>=DISPIMG("ID_D7DF84CC582E48AF9E2DAD7793756353",1)</v>
      </c>
      <c r="AA10" s="10" t="s">
        <v>34</v>
      </c>
      <c r="AB10" s="10" t="s">
        <v>56</v>
      </c>
      <c r="AC10" s="10" t="s">
        <v>36</v>
      </c>
    </row>
    <row r="11" s="2" customFormat="1" ht="234.95" spans="1:29">
      <c r="A11" s="10" t="s">
        <v>29</v>
      </c>
      <c r="B11" s="28" t="s">
        <v>53</v>
      </c>
      <c r="C11" s="28" t="s">
        <v>54</v>
      </c>
      <c r="D11" s="29" t="s">
        <v>55</v>
      </c>
      <c r="E11" s="23"/>
      <c r="F11" s="23"/>
      <c r="G11" s="35"/>
      <c r="H11" s="29"/>
      <c r="I11" s="10"/>
      <c r="J11" s="10"/>
      <c r="K11" s="10"/>
      <c r="L11" s="10"/>
      <c r="M11" s="10"/>
      <c r="N11" s="10"/>
      <c r="O11" s="10"/>
      <c r="P11" s="10"/>
      <c r="Q11" s="10"/>
      <c r="R11" s="10"/>
      <c r="S11" s="63" t="s">
        <v>57</v>
      </c>
      <c r="T11" s="4" t="s">
        <v>58</v>
      </c>
      <c r="U11" s="63" t="s">
        <v>57</v>
      </c>
      <c r="V11" s="10" t="s">
        <v>33</v>
      </c>
      <c r="W11" s="23"/>
      <c r="X11" s="63" t="s">
        <v>57</v>
      </c>
      <c r="Y11" s="4" t="s">
        <v>58</v>
      </c>
      <c r="Z11" s="55" t="str">
        <f>_xlfn.DISPIMG("ID_7719646BFA97430A8D3BA5070931CE08",1)</f>
        <v>=DISPIMG("ID_7719646BFA97430A8D3BA5070931CE08",1)</v>
      </c>
      <c r="AA11" s="10" t="s">
        <v>34</v>
      </c>
      <c r="AB11" s="10" t="s">
        <v>59</v>
      </c>
      <c r="AC11" s="10" t="s">
        <v>36</v>
      </c>
    </row>
    <row r="12" s="2" customFormat="1" ht="49.5" spans="1:29">
      <c r="A12" s="10" t="s">
        <v>29</v>
      </c>
      <c r="B12" s="28" t="s">
        <v>53</v>
      </c>
      <c r="C12" s="28" t="s">
        <v>54</v>
      </c>
      <c r="D12" s="29" t="s">
        <v>55</v>
      </c>
      <c r="E12" s="23"/>
      <c r="F12" s="23"/>
      <c r="G12" s="35"/>
      <c r="H12" s="29"/>
      <c r="I12" s="10"/>
      <c r="J12" s="10"/>
      <c r="K12" s="10"/>
      <c r="L12" s="10"/>
      <c r="M12" s="10"/>
      <c r="N12" s="10"/>
      <c r="O12" s="10"/>
      <c r="P12" s="10"/>
      <c r="Q12" s="10"/>
      <c r="R12" s="10"/>
      <c r="S12" s="63" t="s">
        <v>60</v>
      </c>
      <c r="T12" s="4" t="s">
        <v>32</v>
      </c>
      <c r="U12" s="63" t="s">
        <v>60</v>
      </c>
      <c r="V12" s="10" t="s">
        <v>33</v>
      </c>
      <c r="W12" s="23"/>
      <c r="X12" s="63" t="s">
        <v>60</v>
      </c>
      <c r="Y12" s="4" t="s">
        <v>32</v>
      </c>
      <c r="Z12" s="10" t="str">
        <f>_xlfn.DISPIMG("ID_90F107A466E94306B0F66AE0BF594882",1)</f>
        <v>=DISPIMG("ID_90F107A466E94306B0F66AE0BF594882",1)</v>
      </c>
      <c r="AA12" s="10" t="s">
        <v>34</v>
      </c>
      <c r="AB12" s="10" t="s">
        <v>61</v>
      </c>
      <c r="AC12" s="10" t="s">
        <v>36</v>
      </c>
    </row>
    <row r="13" s="2" customFormat="1" ht="49.5" spans="1:29">
      <c r="A13" s="10" t="s">
        <v>29</v>
      </c>
      <c r="B13" s="28" t="s">
        <v>53</v>
      </c>
      <c r="C13" s="28" t="s">
        <v>54</v>
      </c>
      <c r="D13" s="29" t="s">
        <v>55</v>
      </c>
      <c r="E13" s="23"/>
      <c r="F13" s="23"/>
      <c r="G13" s="35"/>
      <c r="H13" s="29"/>
      <c r="I13" s="10"/>
      <c r="J13" s="10"/>
      <c r="K13" s="10"/>
      <c r="L13" s="10"/>
      <c r="M13" s="10"/>
      <c r="N13" s="10"/>
      <c r="O13" s="10"/>
      <c r="P13" s="10"/>
      <c r="Q13" s="10"/>
      <c r="R13" s="10"/>
      <c r="S13" s="63" t="s">
        <v>62</v>
      </c>
      <c r="T13" s="4" t="s">
        <v>32</v>
      </c>
      <c r="U13" s="63" t="s">
        <v>62</v>
      </c>
      <c r="V13" s="10" t="s">
        <v>33</v>
      </c>
      <c r="W13" s="23"/>
      <c r="X13" s="63" t="s">
        <v>62</v>
      </c>
      <c r="Y13" s="4" t="s">
        <v>32</v>
      </c>
      <c r="Z13" s="10" t="str">
        <f>_xlfn.DISPIMG("ID_F0435B3499B8488398D9B454821FAADB",1)</f>
        <v>=DISPIMG("ID_F0435B3499B8488398D9B454821FAADB",1)</v>
      </c>
      <c r="AA13" s="10" t="s">
        <v>34</v>
      </c>
      <c r="AB13" s="10" t="s">
        <v>63</v>
      </c>
      <c r="AC13" s="10" t="s">
        <v>36</v>
      </c>
    </row>
    <row r="14" s="2" customFormat="1" ht="66" spans="1:29">
      <c r="A14" s="10" t="s">
        <v>29</v>
      </c>
      <c r="B14" s="28" t="s">
        <v>53</v>
      </c>
      <c r="C14" s="28" t="s">
        <v>54</v>
      </c>
      <c r="D14" s="29" t="s">
        <v>55</v>
      </c>
      <c r="E14" s="23"/>
      <c r="F14" s="23"/>
      <c r="G14" s="35"/>
      <c r="H14" s="29"/>
      <c r="I14" s="10"/>
      <c r="J14" s="10"/>
      <c r="K14" s="10"/>
      <c r="L14" s="10"/>
      <c r="M14" s="10"/>
      <c r="N14" s="10"/>
      <c r="O14" s="10"/>
      <c r="P14" s="10"/>
      <c r="Q14" s="10"/>
      <c r="R14" s="10"/>
      <c r="S14" s="63" t="s">
        <v>64</v>
      </c>
      <c r="T14" s="4" t="s">
        <v>32</v>
      </c>
      <c r="U14" s="63" t="s">
        <v>64</v>
      </c>
      <c r="V14" s="10" t="s">
        <v>33</v>
      </c>
      <c r="W14" s="23"/>
      <c r="X14" s="63" t="s">
        <v>64</v>
      </c>
      <c r="Y14" s="4" t="s">
        <v>32</v>
      </c>
      <c r="Z14" s="10" t="str">
        <f>_xlfn.DISPIMG("ID_3A79970E438E4B7CB1A609BB7E58AADA",1)</f>
        <v>=DISPIMG("ID_3A79970E438E4B7CB1A609BB7E58AADA",1)</v>
      </c>
      <c r="AA14" s="10" t="s">
        <v>34</v>
      </c>
      <c r="AB14" s="10" t="s">
        <v>65</v>
      </c>
      <c r="AC14" s="10" t="s">
        <v>66</v>
      </c>
    </row>
    <row r="15" s="2" customFormat="1" ht="82.5" spans="1:29">
      <c r="A15" s="10" t="s">
        <v>29</v>
      </c>
      <c r="B15" s="28" t="s">
        <v>53</v>
      </c>
      <c r="C15" s="28" t="s">
        <v>54</v>
      </c>
      <c r="D15" s="29" t="s">
        <v>55</v>
      </c>
      <c r="E15" s="23"/>
      <c r="F15" s="23"/>
      <c r="G15" s="35"/>
      <c r="H15" s="29"/>
      <c r="I15" s="10"/>
      <c r="J15" s="10"/>
      <c r="K15" s="10"/>
      <c r="L15" s="10"/>
      <c r="M15" s="10"/>
      <c r="N15" s="10"/>
      <c r="O15" s="10"/>
      <c r="P15" s="10"/>
      <c r="Q15" s="10"/>
      <c r="R15" s="10"/>
      <c r="S15" s="63" t="s">
        <v>67</v>
      </c>
      <c r="T15" s="4" t="s">
        <v>68</v>
      </c>
      <c r="U15" s="63" t="s">
        <v>69</v>
      </c>
      <c r="V15" s="10" t="s">
        <v>33</v>
      </c>
      <c r="W15" s="23"/>
      <c r="X15" s="63" t="s">
        <v>67</v>
      </c>
      <c r="Y15" s="4" t="s">
        <v>68</v>
      </c>
      <c r="Z15" s="10" t="str">
        <f>_xlfn.DISPIMG("ID_B5A44D0C81C142588175D166A5C4362F",1)</f>
        <v>=DISPIMG("ID_B5A44D0C81C142588175D166A5C4362F",1)</v>
      </c>
      <c r="AA15" s="10" t="s">
        <v>34</v>
      </c>
      <c r="AB15" s="10" t="s">
        <v>70</v>
      </c>
      <c r="AC15" s="10" t="s">
        <v>71</v>
      </c>
    </row>
    <row r="16" s="2" customFormat="1" ht="102.6" spans="1:29">
      <c r="A16" s="10" t="s">
        <v>29</v>
      </c>
      <c r="B16" s="28" t="s">
        <v>53</v>
      </c>
      <c r="C16" s="28" t="s">
        <v>54</v>
      </c>
      <c r="D16" s="29" t="s">
        <v>72</v>
      </c>
      <c r="E16" s="23"/>
      <c r="F16" s="23"/>
      <c r="G16" s="35"/>
      <c r="H16" s="29" t="s">
        <v>72</v>
      </c>
      <c r="I16" s="10"/>
      <c r="J16" s="10"/>
      <c r="K16" s="10"/>
      <c r="L16" s="10"/>
      <c r="M16" s="10"/>
      <c r="N16" s="10"/>
      <c r="O16" s="10"/>
      <c r="P16" s="10"/>
      <c r="Q16" s="10"/>
      <c r="R16" s="10"/>
      <c r="S16" s="63" t="s">
        <v>73</v>
      </c>
      <c r="T16" s="4" t="s">
        <v>32</v>
      </c>
      <c r="U16" s="63" t="s">
        <v>73</v>
      </c>
      <c r="V16" s="10" t="s">
        <v>33</v>
      </c>
      <c r="W16" s="23"/>
      <c r="X16" s="63" t="s">
        <v>73</v>
      </c>
      <c r="Y16" s="4" t="s">
        <v>32</v>
      </c>
      <c r="Z16" s="10" t="str">
        <f>_xlfn.DISPIMG("ID_762CF11D23CE4649B187B3AA8622A37B",1)</f>
        <v>=DISPIMG("ID_762CF11D23CE4649B187B3AA8622A37B",1)</v>
      </c>
      <c r="AA16" s="10" t="s">
        <v>34</v>
      </c>
      <c r="AB16" s="10" t="s">
        <v>74</v>
      </c>
      <c r="AC16" s="10"/>
    </row>
    <row r="17" s="2" customFormat="1" ht="115.5" spans="1:29">
      <c r="A17" s="10" t="s">
        <v>29</v>
      </c>
      <c r="B17" s="28" t="s">
        <v>53</v>
      </c>
      <c r="C17" s="28" t="s">
        <v>54</v>
      </c>
      <c r="D17" s="29" t="s">
        <v>72</v>
      </c>
      <c r="E17" s="29"/>
      <c r="F17" s="23"/>
      <c r="G17" s="35"/>
      <c r="H17" s="29"/>
      <c r="I17" s="10"/>
      <c r="J17" s="10"/>
      <c r="K17" s="10"/>
      <c r="L17" s="10"/>
      <c r="M17" s="10"/>
      <c r="N17" s="10"/>
      <c r="O17" s="10"/>
      <c r="P17" s="10"/>
      <c r="Q17" s="10"/>
      <c r="R17" s="10"/>
      <c r="S17" s="63" t="s">
        <v>75</v>
      </c>
      <c r="T17" s="4" t="s">
        <v>68</v>
      </c>
      <c r="U17" s="63" t="s">
        <v>76</v>
      </c>
      <c r="V17" s="10" t="s">
        <v>33</v>
      </c>
      <c r="W17" s="23"/>
      <c r="X17" s="63" t="s">
        <v>75</v>
      </c>
      <c r="Y17" s="4" t="s">
        <v>68</v>
      </c>
      <c r="Z17" s="10" t="str">
        <f>_xlfn.DISPIMG("ID_1EEC25EB57344907802806838F52F823",1)</f>
        <v>=DISPIMG("ID_1EEC25EB57344907802806838F52F823",1)</v>
      </c>
      <c r="AA17" s="10" t="s">
        <v>34</v>
      </c>
      <c r="AB17" s="10" t="s">
        <v>77</v>
      </c>
      <c r="AC17" s="10"/>
    </row>
    <row r="18" s="2" customFormat="1" ht="132" spans="1:29">
      <c r="A18" s="10" t="s">
        <v>29</v>
      </c>
      <c r="B18" s="28" t="s">
        <v>53</v>
      </c>
      <c r="C18" s="28" t="s">
        <v>54</v>
      </c>
      <c r="D18" s="29" t="s">
        <v>72</v>
      </c>
      <c r="E18" s="29"/>
      <c r="F18" s="23"/>
      <c r="G18" s="35"/>
      <c r="H18" s="29"/>
      <c r="I18" s="10"/>
      <c r="J18" s="10"/>
      <c r="K18" s="10"/>
      <c r="L18" s="10"/>
      <c r="M18" s="10"/>
      <c r="N18" s="10"/>
      <c r="O18" s="10"/>
      <c r="P18" s="10"/>
      <c r="Q18" s="10"/>
      <c r="R18" s="10"/>
      <c r="S18" s="63" t="s">
        <v>78</v>
      </c>
      <c r="T18" s="4" t="s">
        <v>68</v>
      </c>
      <c r="U18" s="63" t="s">
        <v>79</v>
      </c>
      <c r="V18" s="10" t="s">
        <v>33</v>
      </c>
      <c r="W18" s="23"/>
      <c r="X18" s="63" t="s">
        <v>78</v>
      </c>
      <c r="Y18" s="4" t="s">
        <v>68</v>
      </c>
      <c r="Z18" s="10" t="str">
        <f>_xlfn.DISPIMG("ID_B1A3218AD7A347E7BE1EB3CA09B08F3D",1)</f>
        <v>=DISPIMG("ID_B1A3218AD7A347E7BE1EB3CA09B08F3D",1)</v>
      </c>
      <c r="AA18" s="10" t="s">
        <v>34</v>
      </c>
      <c r="AB18" s="10" t="s">
        <v>80</v>
      </c>
      <c r="AC18" s="10"/>
    </row>
    <row r="19" s="2" customFormat="1" ht="103.25" spans="1:29">
      <c r="A19" s="10" t="s">
        <v>29</v>
      </c>
      <c r="B19" s="28" t="s">
        <v>53</v>
      </c>
      <c r="C19" s="29" t="s">
        <v>81</v>
      </c>
      <c r="D19" s="29" t="s">
        <v>82</v>
      </c>
      <c r="E19" s="29"/>
      <c r="F19" s="29"/>
      <c r="G19" s="33"/>
      <c r="H19" s="23" t="s">
        <v>83</v>
      </c>
      <c r="I19" s="10"/>
      <c r="J19" s="10"/>
      <c r="K19" s="10"/>
      <c r="L19" s="10"/>
      <c r="M19" s="10"/>
      <c r="N19" s="10"/>
      <c r="O19" s="10"/>
      <c r="P19" s="10"/>
      <c r="Q19" s="10"/>
      <c r="R19" s="10"/>
      <c r="S19" s="63" t="s">
        <v>84</v>
      </c>
      <c r="T19" s="4" t="s">
        <v>32</v>
      </c>
      <c r="U19" s="63" t="s">
        <v>84</v>
      </c>
      <c r="V19" s="10" t="s">
        <v>33</v>
      </c>
      <c r="W19" s="23"/>
      <c r="X19" s="63" t="s">
        <v>84</v>
      </c>
      <c r="Y19" s="4" t="s">
        <v>32</v>
      </c>
      <c r="Z19" s="10" t="str">
        <f>_xlfn.DISPIMG("ID_AF2A622A89074EB598D80EDF50628B97",1)</f>
        <v>=DISPIMG("ID_AF2A622A89074EB598D80EDF50628B97",1)</v>
      </c>
      <c r="AA19" s="10" t="s">
        <v>34</v>
      </c>
      <c r="AB19" s="10" t="s">
        <v>85</v>
      </c>
      <c r="AC19" s="10"/>
    </row>
    <row r="20" s="2" customFormat="1" ht="49.5" spans="1:29">
      <c r="A20" s="10" t="s">
        <v>29</v>
      </c>
      <c r="B20" s="28" t="s">
        <v>53</v>
      </c>
      <c r="C20" s="29" t="s">
        <v>81</v>
      </c>
      <c r="D20" s="29" t="s">
        <v>82</v>
      </c>
      <c r="E20" s="29"/>
      <c r="F20" s="29"/>
      <c r="G20" s="33"/>
      <c r="H20" s="23" t="s">
        <v>86</v>
      </c>
      <c r="I20" s="10"/>
      <c r="J20" s="10"/>
      <c r="K20" s="10"/>
      <c r="L20" s="10"/>
      <c r="M20" s="10"/>
      <c r="N20" s="10"/>
      <c r="O20" s="10"/>
      <c r="P20" s="10"/>
      <c r="Q20" s="10"/>
      <c r="R20" s="10"/>
      <c r="S20" s="62" t="s">
        <v>87</v>
      </c>
      <c r="T20" s="4" t="s">
        <v>32</v>
      </c>
      <c r="U20" s="62" t="s">
        <v>87</v>
      </c>
      <c r="V20" s="10" t="s">
        <v>33</v>
      </c>
      <c r="W20" s="23"/>
      <c r="X20" s="62" t="s">
        <v>87</v>
      </c>
      <c r="Y20" s="4" t="s">
        <v>32</v>
      </c>
      <c r="Z20" s="10" t="str">
        <f>_xlfn.DISPIMG("ID_94706835D494481F8B152F7AC82FAAB6",1)</f>
        <v>=DISPIMG("ID_94706835D494481F8B152F7AC82FAAB6",1)</v>
      </c>
      <c r="AA20" s="10" t="s">
        <v>34</v>
      </c>
      <c r="AB20" s="10" t="s">
        <v>88</v>
      </c>
      <c r="AC20" s="10"/>
    </row>
    <row r="21" s="2" customFormat="1" ht="49.5" spans="1:29">
      <c r="A21" s="10" t="s">
        <v>29</v>
      </c>
      <c r="B21" s="28" t="s">
        <v>53</v>
      </c>
      <c r="C21" s="29" t="s">
        <v>81</v>
      </c>
      <c r="D21" s="29" t="s">
        <v>82</v>
      </c>
      <c r="E21" s="29"/>
      <c r="F21" s="29"/>
      <c r="G21" s="33"/>
      <c r="H21" s="23" t="s">
        <v>89</v>
      </c>
      <c r="I21" s="10"/>
      <c r="J21" s="10"/>
      <c r="K21" s="10"/>
      <c r="L21" s="10"/>
      <c r="M21" s="10"/>
      <c r="N21" s="10"/>
      <c r="O21" s="10"/>
      <c r="P21" s="10"/>
      <c r="Q21" s="10"/>
      <c r="R21" s="10"/>
      <c r="S21" s="62" t="s">
        <v>90</v>
      </c>
      <c r="T21" s="4" t="s">
        <v>32</v>
      </c>
      <c r="U21" s="62" t="s">
        <v>90</v>
      </c>
      <c r="V21" s="10" t="s">
        <v>33</v>
      </c>
      <c r="W21" s="23"/>
      <c r="X21" s="62" t="s">
        <v>90</v>
      </c>
      <c r="Y21" s="4" t="s">
        <v>32</v>
      </c>
      <c r="Z21" s="10" t="str">
        <f>_xlfn.DISPIMG("ID_C7211E65DAE34E9B80DA8E1C9705739A",1)</f>
        <v>=DISPIMG("ID_C7211E65DAE34E9B80DA8E1C9705739A",1)</v>
      </c>
      <c r="AA21" s="10" t="s">
        <v>34</v>
      </c>
      <c r="AB21" s="10" t="s">
        <v>91</v>
      </c>
      <c r="AC21" s="10"/>
    </row>
    <row r="22" s="2" customFormat="1" ht="49.5" spans="1:29">
      <c r="A22" s="10" t="s">
        <v>29</v>
      </c>
      <c r="B22" s="28" t="s">
        <v>53</v>
      </c>
      <c r="C22" s="29" t="s">
        <v>81</v>
      </c>
      <c r="D22" s="29" t="s">
        <v>82</v>
      </c>
      <c r="E22" s="29"/>
      <c r="F22" s="29"/>
      <c r="G22" s="33"/>
      <c r="H22" s="23" t="s">
        <v>92</v>
      </c>
      <c r="I22" s="10"/>
      <c r="J22" s="10"/>
      <c r="K22" s="10"/>
      <c r="L22" s="10"/>
      <c r="M22" s="10"/>
      <c r="N22" s="10"/>
      <c r="O22" s="10"/>
      <c r="P22" s="10"/>
      <c r="Q22" s="10"/>
      <c r="R22" s="10"/>
      <c r="S22" s="62" t="s">
        <v>93</v>
      </c>
      <c r="T22" s="4" t="s">
        <v>32</v>
      </c>
      <c r="U22" s="62" t="s">
        <v>93</v>
      </c>
      <c r="V22" s="10" t="s">
        <v>33</v>
      </c>
      <c r="W22" s="23"/>
      <c r="X22" s="62" t="s">
        <v>93</v>
      </c>
      <c r="Y22" s="4" t="s">
        <v>32</v>
      </c>
      <c r="Z22" s="10" t="str">
        <f>_xlfn.DISPIMG("ID_9D64D15E3FE14708AD04731B54D4E26B",1)</f>
        <v>=DISPIMG("ID_9D64D15E3FE14708AD04731B54D4E26B",1)</v>
      </c>
      <c r="AA22" s="10" t="s">
        <v>34</v>
      </c>
      <c r="AB22" s="10" t="s">
        <v>94</v>
      </c>
      <c r="AC22" s="10"/>
    </row>
    <row r="23" s="2" customFormat="1" ht="100.6" spans="1:29">
      <c r="A23" s="10" t="s">
        <v>29</v>
      </c>
      <c r="B23" s="28" t="s">
        <v>53</v>
      </c>
      <c r="C23" s="29" t="s">
        <v>81</v>
      </c>
      <c r="D23" s="29" t="s">
        <v>95</v>
      </c>
      <c r="E23" s="29"/>
      <c r="F23" s="29"/>
      <c r="G23" s="33"/>
      <c r="H23" s="23" t="s">
        <v>96</v>
      </c>
      <c r="I23" s="10"/>
      <c r="J23" s="10"/>
      <c r="K23" s="10"/>
      <c r="L23" s="10"/>
      <c r="M23" s="10"/>
      <c r="N23" s="10"/>
      <c r="O23" s="10"/>
      <c r="P23" s="10"/>
      <c r="Q23" s="10"/>
      <c r="R23" s="10"/>
      <c r="S23" s="62" t="s">
        <v>96</v>
      </c>
      <c r="T23" s="4" t="s">
        <v>32</v>
      </c>
      <c r="U23" s="62" t="s">
        <v>96</v>
      </c>
      <c r="V23" s="10" t="s">
        <v>33</v>
      </c>
      <c r="W23" s="23"/>
      <c r="X23" s="62" t="s">
        <v>96</v>
      </c>
      <c r="Y23" s="4" t="s">
        <v>32</v>
      </c>
      <c r="Z23" s="10" t="str">
        <f>_xlfn.DISPIMG("ID_A9A70EBF030D42DBA1CEBFC225D848E1",1)</f>
        <v>=DISPIMG("ID_A9A70EBF030D42DBA1CEBFC225D848E1",1)</v>
      </c>
      <c r="AA23" s="10" t="s">
        <v>34</v>
      </c>
      <c r="AB23" s="10" t="s">
        <v>97</v>
      </c>
      <c r="AC23" s="10"/>
    </row>
    <row r="24" s="2" customFormat="1" ht="100.8" spans="1:29">
      <c r="A24" s="10" t="s">
        <v>29</v>
      </c>
      <c r="B24" s="28" t="s">
        <v>53</v>
      </c>
      <c r="C24" s="29" t="s">
        <v>81</v>
      </c>
      <c r="D24" s="29" t="s">
        <v>95</v>
      </c>
      <c r="E24" s="29"/>
      <c r="F24" s="29"/>
      <c r="G24" s="33"/>
      <c r="H24" s="23" t="s">
        <v>98</v>
      </c>
      <c r="I24" s="10"/>
      <c r="J24" s="10"/>
      <c r="K24" s="10"/>
      <c r="L24" s="10"/>
      <c r="M24" s="10"/>
      <c r="N24" s="10"/>
      <c r="O24" s="10"/>
      <c r="P24" s="10"/>
      <c r="Q24" s="10"/>
      <c r="R24" s="10"/>
      <c r="S24" s="62" t="s">
        <v>98</v>
      </c>
      <c r="T24" s="4" t="s">
        <v>32</v>
      </c>
      <c r="U24" s="62" t="s">
        <v>98</v>
      </c>
      <c r="V24" s="10" t="s">
        <v>33</v>
      </c>
      <c r="W24" s="23"/>
      <c r="X24" s="62" t="s">
        <v>98</v>
      </c>
      <c r="Y24" s="4" t="s">
        <v>32</v>
      </c>
      <c r="Z24" s="10" t="str">
        <f>_xlfn.DISPIMG("ID_9367459FEC394C2B8D2445AA60F05818",1)</f>
        <v>=DISPIMG("ID_9367459FEC394C2B8D2445AA60F05818",1)</v>
      </c>
      <c r="AA24" s="10" t="s">
        <v>34</v>
      </c>
      <c r="AB24" s="10" t="s">
        <v>99</v>
      </c>
      <c r="AC24" s="10"/>
    </row>
    <row r="25" s="2" customFormat="1" ht="103.1" spans="1:29">
      <c r="A25" s="10" t="s">
        <v>29</v>
      </c>
      <c r="B25" s="28" t="s">
        <v>53</v>
      </c>
      <c r="C25" s="29" t="s">
        <v>81</v>
      </c>
      <c r="D25" s="29" t="s">
        <v>95</v>
      </c>
      <c r="E25" s="29"/>
      <c r="F25" s="29"/>
      <c r="G25" s="33"/>
      <c r="H25" s="23" t="s">
        <v>100</v>
      </c>
      <c r="I25" s="10"/>
      <c r="J25" s="10"/>
      <c r="K25" s="10"/>
      <c r="L25" s="10"/>
      <c r="M25" s="10"/>
      <c r="N25" s="10"/>
      <c r="O25" s="10"/>
      <c r="P25" s="10"/>
      <c r="Q25" s="10"/>
      <c r="R25" s="10"/>
      <c r="S25" s="62" t="s">
        <v>100</v>
      </c>
      <c r="T25" s="4" t="s">
        <v>32</v>
      </c>
      <c r="U25" s="62" t="s">
        <v>100</v>
      </c>
      <c r="V25" s="10" t="s">
        <v>33</v>
      </c>
      <c r="W25" s="23"/>
      <c r="X25" s="62" t="s">
        <v>100</v>
      </c>
      <c r="Y25" s="4" t="s">
        <v>32</v>
      </c>
      <c r="Z25" s="10" t="str">
        <f>_xlfn.DISPIMG("ID_F6F37691C8764F8CAC19D8C4CFFDD608",1)</f>
        <v>=DISPIMG("ID_F6F37691C8764F8CAC19D8C4CFFDD608",1)</v>
      </c>
      <c r="AA25" s="10" t="s">
        <v>34</v>
      </c>
      <c r="AB25" s="10" t="s">
        <v>101</v>
      </c>
      <c r="AC25" s="10"/>
    </row>
    <row r="26" s="2" customFormat="1" ht="100.4" spans="1:29">
      <c r="A26" s="10" t="s">
        <v>29</v>
      </c>
      <c r="B26" s="28" t="s">
        <v>53</v>
      </c>
      <c r="C26" s="29" t="s">
        <v>81</v>
      </c>
      <c r="D26" s="29" t="s">
        <v>95</v>
      </c>
      <c r="E26" s="29"/>
      <c r="F26" s="29"/>
      <c r="G26" s="33"/>
      <c r="H26" s="23" t="s">
        <v>102</v>
      </c>
      <c r="I26" s="10"/>
      <c r="J26" s="10"/>
      <c r="K26" s="10"/>
      <c r="L26" s="10"/>
      <c r="M26" s="10"/>
      <c r="N26" s="10"/>
      <c r="O26" s="10"/>
      <c r="P26" s="10"/>
      <c r="Q26" s="10"/>
      <c r="R26" s="10"/>
      <c r="S26" s="62" t="s">
        <v>102</v>
      </c>
      <c r="T26" s="4" t="s">
        <v>32</v>
      </c>
      <c r="U26" s="62" t="s">
        <v>102</v>
      </c>
      <c r="V26" s="10" t="s">
        <v>33</v>
      </c>
      <c r="W26" s="23"/>
      <c r="X26" s="62" t="s">
        <v>102</v>
      </c>
      <c r="Y26" s="4" t="s">
        <v>32</v>
      </c>
      <c r="Z26" s="10" t="str">
        <f>_xlfn.DISPIMG("ID_AC48647E43F448B399251C230FAEE3F0",1)</f>
        <v>=DISPIMG("ID_AC48647E43F448B399251C230FAEE3F0",1)</v>
      </c>
      <c r="AA26" s="10" t="s">
        <v>34</v>
      </c>
      <c r="AB26" s="10" t="s">
        <v>103</v>
      </c>
      <c r="AC26" s="10"/>
    </row>
    <row r="27" s="2" customFormat="1" ht="101.85" spans="1:29">
      <c r="A27" s="10" t="s">
        <v>29</v>
      </c>
      <c r="B27" s="28" t="s">
        <v>53</v>
      </c>
      <c r="C27" s="29" t="s">
        <v>81</v>
      </c>
      <c r="D27" s="29" t="s">
        <v>95</v>
      </c>
      <c r="E27" s="29"/>
      <c r="F27" s="29"/>
      <c r="G27" s="33"/>
      <c r="H27" s="29" t="s">
        <v>104</v>
      </c>
      <c r="I27" s="10"/>
      <c r="J27" s="10"/>
      <c r="K27" s="10"/>
      <c r="L27" s="10"/>
      <c r="M27" s="10"/>
      <c r="N27" s="10"/>
      <c r="O27" s="10"/>
      <c r="P27" s="10"/>
      <c r="Q27" s="10"/>
      <c r="R27" s="10"/>
      <c r="S27" s="62" t="s">
        <v>105</v>
      </c>
      <c r="T27" s="4" t="s">
        <v>32</v>
      </c>
      <c r="U27" s="62" t="s">
        <v>105</v>
      </c>
      <c r="V27" s="10" t="s">
        <v>33</v>
      </c>
      <c r="W27" s="23"/>
      <c r="X27" s="62" t="s">
        <v>105</v>
      </c>
      <c r="Y27" s="4" t="s">
        <v>32</v>
      </c>
      <c r="Z27" s="10" t="str">
        <f>_xlfn.DISPIMG("ID_AD84D30A14BC428D955FCE98B7CC8DA5",1)</f>
        <v>=DISPIMG("ID_AD84D30A14BC428D955FCE98B7CC8DA5",1)</v>
      </c>
      <c r="AA27" s="10" t="s">
        <v>34</v>
      </c>
      <c r="AB27" s="10" t="s">
        <v>106</v>
      </c>
      <c r="AC27" s="10"/>
    </row>
    <row r="28" s="2" customFormat="1" ht="104.35" spans="1:29">
      <c r="A28" s="10" t="s">
        <v>29</v>
      </c>
      <c r="B28" s="28" t="s">
        <v>53</v>
      </c>
      <c r="C28" s="29" t="s">
        <v>81</v>
      </c>
      <c r="D28" s="29" t="s">
        <v>95</v>
      </c>
      <c r="E28" s="29"/>
      <c r="F28" s="29"/>
      <c r="G28" s="33"/>
      <c r="H28" s="29"/>
      <c r="I28" s="10"/>
      <c r="J28" s="10"/>
      <c r="K28" s="10"/>
      <c r="L28" s="10"/>
      <c r="M28" s="10"/>
      <c r="N28" s="10"/>
      <c r="O28" s="10"/>
      <c r="P28" s="10"/>
      <c r="Q28" s="10"/>
      <c r="R28" s="10"/>
      <c r="S28" s="62" t="s">
        <v>107</v>
      </c>
      <c r="T28" s="4" t="s">
        <v>32</v>
      </c>
      <c r="U28" s="62" t="s">
        <v>107</v>
      </c>
      <c r="V28" s="10" t="s">
        <v>33</v>
      </c>
      <c r="W28" s="23"/>
      <c r="X28" s="62" t="s">
        <v>107</v>
      </c>
      <c r="Y28" s="4" t="s">
        <v>32</v>
      </c>
      <c r="Z28" s="10" t="str">
        <f>_xlfn.DISPIMG("ID_636CC8E3566B410A913B1D8350A3C60D",1)</f>
        <v>=DISPIMG("ID_636CC8E3566B410A913B1D8350A3C60D",1)</v>
      </c>
      <c r="AA28" s="10" t="s">
        <v>34</v>
      </c>
      <c r="AB28" s="10" t="s">
        <v>108</v>
      </c>
      <c r="AC28" s="10"/>
    </row>
    <row r="29" s="2" customFormat="1" ht="99" spans="1:29">
      <c r="A29" s="10" t="s">
        <v>29</v>
      </c>
      <c r="B29" s="28" t="s">
        <v>53</v>
      </c>
      <c r="C29" s="29" t="s">
        <v>81</v>
      </c>
      <c r="D29" s="29" t="s">
        <v>95</v>
      </c>
      <c r="E29" s="29"/>
      <c r="F29" s="29"/>
      <c r="G29" s="33"/>
      <c r="H29" s="29"/>
      <c r="I29" s="10"/>
      <c r="J29" s="10"/>
      <c r="K29" s="10"/>
      <c r="L29" s="10"/>
      <c r="M29" s="10"/>
      <c r="N29" s="10"/>
      <c r="O29" s="10"/>
      <c r="P29" s="10"/>
      <c r="Q29" s="10"/>
      <c r="R29" s="10"/>
      <c r="S29" s="62" t="s">
        <v>109</v>
      </c>
      <c r="T29" s="4" t="s">
        <v>68</v>
      </c>
      <c r="U29" s="63" t="s">
        <v>110</v>
      </c>
      <c r="V29" s="24" t="s">
        <v>95</v>
      </c>
      <c r="W29" s="23"/>
      <c r="X29" s="62" t="s">
        <v>109</v>
      </c>
      <c r="Y29" s="4" t="s">
        <v>68</v>
      </c>
      <c r="Z29" s="10" t="str">
        <f>_xlfn.DISPIMG("ID_5BF37CF53C1847FC97C20BCAFBA25C77",1)</f>
        <v>=DISPIMG("ID_5BF37CF53C1847FC97C20BCAFBA25C77",1)</v>
      </c>
      <c r="AA29" s="10" t="s">
        <v>34</v>
      </c>
      <c r="AB29" s="10" t="s">
        <v>111</v>
      </c>
      <c r="AC29" s="10"/>
    </row>
    <row r="30" s="2" customFormat="1" ht="103" spans="1:29">
      <c r="A30" s="10" t="s">
        <v>29</v>
      </c>
      <c r="B30" s="28" t="s">
        <v>53</v>
      </c>
      <c r="C30" s="29" t="s">
        <v>81</v>
      </c>
      <c r="D30" s="29" t="s">
        <v>95</v>
      </c>
      <c r="E30" s="29"/>
      <c r="F30" s="29"/>
      <c r="G30" s="33"/>
      <c r="H30" s="29"/>
      <c r="I30" s="10"/>
      <c r="J30" s="10"/>
      <c r="K30" s="10"/>
      <c r="L30" s="10"/>
      <c r="M30" s="10"/>
      <c r="N30" s="10"/>
      <c r="O30" s="10"/>
      <c r="P30" s="10"/>
      <c r="Q30" s="10"/>
      <c r="R30" s="10"/>
      <c r="S30" s="62" t="s">
        <v>112</v>
      </c>
      <c r="T30" s="4" t="s">
        <v>32</v>
      </c>
      <c r="U30" s="62" t="s">
        <v>112</v>
      </c>
      <c r="V30" s="10" t="s">
        <v>33</v>
      </c>
      <c r="W30" s="23"/>
      <c r="X30" s="62" t="s">
        <v>112</v>
      </c>
      <c r="Y30" s="4" t="s">
        <v>32</v>
      </c>
      <c r="Z30" s="10" t="str">
        <f>_xlfn.DISPIMG("ID_8B59010070E54A868D6F6934F0518868",1)</f>
        <v>=DISPIMG("ID_8B59010070E54A868D6F6934F0518868",1)</v>
      </c>
      <c r="AA30" s="10" t="s">
        <v>34</v>
      </c>
      <c r="AB30" s="10" t="s">
        <v>113</v>
      </c>
      <c r="AC30" s="10"/>
    </row>
    <row r="31" s="2" customFormat="1" ht="115.5" spans="1:29">
      <c r="A31" s="10" t="s">
        <v>29</v>
      </c>
      <c r="B31" s="28" t="s">
        <v>53</v>
      </c>
      <c r="C31" s="29" t="s">
        <v>81</v>
      </c>
      <c r="D31" s="29" t="s">
        <v>95</v>
      </c>
      <c r="E31" s="29"/>
      <c r="F31" s="29"/>
      <c r="G31" s="33"/>
      <c r="H31" s="29"/>
      <c r="I31" s="10"/>
      <c r="J31" s="10"/>
      <c r="K31" s="10"/>
      <c r="L31" s="10"/>
      <c r="M31" s="10"/>
      <c r="N31" s="10"/>
      <c r="O31" s="10"/>
      <c r="P31" s="10"/>
      <c r="Q31" s="10"/>
      <c r="R31" s="10"/>
      <c r="S31" s="62" t="s">
        <v>114</v>
      </c>
      <c r="T31" s="4" t="s">
        <v>68</v>
      </c>
      <c r="U31" s="63" t="s">
        <v>115</v>
      </c>
      <c r="V31" s="24" t="s">
        <v>95</v>
      </c>
      <c r="W31" s="23"/>
      <c r="X31" s="62" t="s">
        <v>114</v>
      </c>
      <c r="Y31" s="4" t="s">
        <v>68</v>
      </c>
      <c r="Z31" s="10" t="str">
        <f>_xlfn.DISPIMG("ID_878952CFC618499D91252B26E8AFC9EE",1)</f>
        <v>=DISPIMG("ID_878952CFC618499D91252B26E8AFC9EE",1)</v>
      </c>
      <c r="AA31" s="10" t="s">
        <v>34</v>
      </c>
      <c r="AB31" s="10" t="s">
        <v>116</v>
      </c>
      <c r="AC31" s="10"/>
    </row>
    <row r="32" s="2" customFormat="1" ht="103.2" spans="1:29">
      <c r="A32" s="10" t="s">
        <v>29</v>
      </c>
      <c r="B32" s="28" t="s">
        <v>53</v>
      </c>
      <c r="C32" s="29" t="s">
        <v>81</v>
      </c>
      <c r="D32" s="29" t="s">
        <v>95</v>
      </c>
      <c r="E32" s="29"/>
      <c r="F32" s="29"/>
      <c r="G32" s="33"/>
      <c r="H32" s="29"/>
      <c r="I32" s="10"/>
      <c r="J32" s="10"/>
      <c r="K32" s="10"/>
      <c r="L32" s="10"/>
      <c r="M32" s="10"/>
      <c r="N32" s="10"/>
      <c r="O32" s="10"/>
      <c r="P32" s="10"/>
      <c r="Q32" s="10"/>
      <c r="R32" s="10"/>
      <c r="S32" s="63" t="s">
        <v>117</v>
      </c>
      <c r="T32" s="4" t="s">
        <v>32</v>
      </c>
      <c r="U32" s="63" t="s">
        <v>117</v>
      </c>
      <c r="V32" s="10" t="s">
        <v>33</v>
      </c>
      <c r="W32" s="23"/>
      <c r="X32" s="63" t="s">
        <v>117</v>
      </c>
      <c r="Y32" s="4" t="s">
        <v>32</v>
      </c>
      <c r="Z32" s="10" t="str">
        <f>_xlfn.DISPIMG("ID_B3F1C7BB6C694F36AEC89BFA5114CE12",1)</f>
        <v>=DISPIMG("ID_B3F1C7BB6C694F36AEC89BFA5114CE12",1)</v>
      </c>
      <c r="AA32" s="10" t="s">
        <v>34</v>
      </c>
      <c r="AB32" s="10" t="s">
        <v>118</v>
      </c>
      <c r="AC32" s="10"/>
    </row>
    <row r="33" s="2" customFormat="1" ht="132" spans="1:29">
      <c r="A33" s="10" t="s">
        <v>29</v>
      </c>
      <c r="B33" s="28" t="s">
        <v>53</v>
      </c>
      <c r="C33" s="29" t="s">
        <v>81</v>
      </c>
      <c r="D33" s="29" t="s">
        <v>95</v>
      </c>
      <c r="E33" s="29"/>
      <c r="F33" s="29"/>
      <c r="G33" s="33"/>
      <c r="H33" s="29"/>
      <c r="I33" s="10"/>
      <c r="J33" s="10"/>
      <c r="K33" s="10"/>
      <c r="L33" s="10"/>
      <c r="M33" s="10"/>
      <c r="N33" s="10"/>
      <c r="O33" s="10"/>
      <c r="P33" s="10"/>
      <c r="Q33" s="10"/>
      <c r="R33" s="10"/>
      <c r="S33" s="63" t="s">
        <v>119</v>
      </c>
      <c r="T33" s="4" t="s">
        <v>68</v>
      </c>
      <c r="U33" s="63" t="s">
        <v>120</v>
      </c>
      <c r="V33" s="24" t="s">
        <v>95</v>
      </c>
      <c r="W33" s="23"/>
      <c r="X33" s="63" t="s">
        <v>119</v>
      </c>
      <c r="Y33" s="4" t="s">
        <v>68</v>
      </c>
      <c r="Z33" s="10" t="str">
        <f>_xlfn.DISPIMG("ID_D5C572958DE24353BAD2187732A6059C",1)</f>
        <v>=DISPIMG("ID_D5C572958DE24353BAD2187732A6059C",1)</v>
      </c>
      <c r="AA33" s="10" t="s">
        <v>34</v>
      </c>
      <c r="AB33" s="10" t="s">
        <v>121</v>
      </c>
      <c r="AC33" s="10"/>
    </row>
    <row r="34" s="2" customFormat="1" ht="103.3" spans="1:29">
      <c r="A34" s="10" t="s">
        <v>29</v>
      </c>
      <c r="B34" s="28" t="s">
        <v>53</v>
      </c>
      <c r="C34" s="29" t="s">
        <v>81</v>
      </c>
      <c r="D34" s="29" t="s">
        <v>95</v>
      </c>
      <c r="E34" s="29"/>
      <c r="F34" s="29"/>
      <c r="G34" s="33"/>
      <c r="H34" s="29"/>
      <c r="I34" s="10"/>
      <c r="J34" s="10"/>
      <c r="K34" s="10"/>
      <c r="L34" s="10"/>
      <c r="M34" s="10"/>
      <c r="N34" s="10"/>
      <c r="O34" s="10"/>
      <c r="P34" s="10"/>
      <c r="Q34" s="10"/>
      <c r="R34" s="10"/>
      <c r="S34" s="63" t="s">
        <v>122</v>
      </c>
      <c r="T34" s="4" t="s">
        <v>32</v>
      </c>
      <c r="U34" s="63" t="s">
        <v>122</v>
      </c>
      <c r="V34" s="10" t="s">
        <v>33</v>
      </c>
      <c r="W34" s="23"/>
      <c r="X34" s="63" t="s">
        <v>122</v>
      </c>
      <c r="Y34" s="4" t="s">
        <v>32</v>
      </c>
      <c r="Z34" s="10" t="str">
        <f>_xlfn.DISPIMG("ID_239F58837FE548A79499FF7B91D8256D",1)</f>
        <v>=DISPIMG("ID_239F58837FE548A79499FF7B91D8256D",1)</v>
      </c>
      <c r="AA34" s="10" t="s">
        <v>34</v>
      </c>
      <c r="AB34" s="10" t="s">
        <v>123</v>
      </c>
      <c r="AC34" s="10"/>
    </row>
    <row r="35" s="2" customFormat="1" ht="115.5" spans="1:29">
      <c r="A35" s="10" t="s">
        <v>29</v>
      </c>
      <c r="B35" s="28" t="s">
        <v>53</v>
      </c>
      <c r="C35" s="29" t="s">
        <v>81</v>
      </c>
      <c r="D35" s="29" t="s">
        <v>95</v>
      </c>
      <c r="E35" s="29"/>
      <c r="F35" s="29"/>
      <c r="G35" s="33"/>
      <c r="H35" s="29"/>
      <c r="I35" s="10"/>
      <c r="J35" s="10"/>
      <c r="K35" s="10"/>
      <c r="L35" s="10"/>
      <c r="M35" s="10"/>
      <c r="N35" s="10"/>
      <c r="O35" s="10"/>
      <c r="P35" s="10"/>
      <c r="Q35" s="10"/>
      <c r="R35" s="10"/>
      <c r="S35" s="62" t="s">
        <v>124</v>
      </c>
      <c r="T35" s="4" t="s">
        <v>68</v>
      </c>
      <c r="U35" s="63" t="s">
        <v>125</v>
      </c>
      <c r="V35" s="24" t="s">
        <v>95</v>
      </c>
      <c r="W35" s="23"/>
      <c r="X35" s="62" t="s">
        <v>124</v>
      </c>
      <c r="Y35" s="4" t="s">
        <v>68</v>
      </c>
      <c r="Z35" s="10" t="str">
        <f>_xlfn.DISPIMG("ID_CF8CBFA7E49042E1860F6C7E56CF27AB",1)</f>
        <v>=DISPIMG("ID_CF8CBFA7E49042E1860F6C7E56CF27AB",1)</v>
      </c>
      <c r="AA35" s="10" t="s">
        <v>34</v>
      </c>
      <c r="AB35" s="10" t="s">
        <v>126</v>
      </c>
      <c r="AC35" s="10"/>
    </row>
    <row r="36" s="2" customFormat="1" ht="101.75" spans="1:29">
      <c r="A36" s="10" t="s">
        <v>29</v>
      </c>
      <c r="B36" s="28" t="s">
        <v>53</v>
      </c>
      <c r="C36" s="29" t="s">
        <v>127</v>
      </c>
      <c r="D36" s="29" t="s">
        <v>128</v>
      </c>
      <c r="E36" s="29"/>
      <c r="F36" s="29"/>
      <c r="G36" s="35"/>
      <c r="H36" s="29" t="s">
        <v>129</v>
      </c>
      <c r="I36" s="10"/>
      <c r="J36" s="10"/>
      <c r="K36" s="10"/>
      <c r="L36" s="10"/>
      <c r="M36" s="10"/>
      <c r="N36" s="10"/>
      <c r="O36" s="10"/>
      <c r="P36" s="10"/>
      <c r="Q36" s="10"/>
      <c r="R36" s="10"/>
      <c r="S36" s="62" t="s">
        <v>130</v>
      </c>
      <c r="T36" s="4" t="s">
        <v>32</v>
      </c>
      <c r="U36" s="62" t="s">
        <v>130</v>
      </c>
      <c r="V36" s="10" t="s">
        <v>33</v>
      </c>
      <c r="W36" s="23"/>
      <c r="X36" s="62" t="s">
        <v>130</v>
      </c>
      <c r="Y36" s="4" t="s">
        <v>32</v>
      </c>
      <c r="Z36" s="10" t="str">
        <f>_xlfn.DISPIMG("ID_8EC2BDC6D9E4477C9210190BAD7216CB",1)</f>
        <v>=DISPIMG("ID_8EC2BDC6D9E4477C9210190BAD7216CB",1)</v>
      </c>
      <c r="AA36" s="10" t="s">
        <v>34</v>
      </c>
      <c r="AB36" s="10" t="s">
        <v>131</v>
      </c>
      <c r="AC36" s="10"/>
    </row>
    <row r="37" s="2" customFormat="1" ht="102.1" spans="1:29">
      <c r="A37" s="10" t="s">
        <v>29</v>
      </c>
      <c r="B37" s="28" t="s">
        <v>53</v>
      </c>
      <c r="C37" s="29" t="s">
        <v>127</v>
      </c>
      <c r="D37" s="29" t="s">
        <v>128</v>
      </c>
      <c r="E37" s="29"/>
      <c r="F37" s="29"/>
      <c r="G37" s="35"/>
      <c r="H37" s="29"/>
      <c r="I37" s="10"/>
      <c r="J37" s="10"/>
      <c r="K37" s="10"/>
      <c r="L37" s="10"/>
      <c r="M37" s="10"/>
      <c r="N37" s="10"/>
      <c r="O37" s="10"/>
      <c r="P37" s="10"/>
      <c r="Q37" s="10"/>
      <c r="R37" s="10"/>
      <c r="S37" s="63" t="s">
        <v>132</v>
      </c>
      <c r="T37" s="4" t="s">
        <v>32</v>
      </c>
      <c r="U37" s="63" t="s">
        <v>132</v>
      </c>
      <c r="V37" s="10" t="s">
        <v>33</v>
      </c>
      <c r="W37" s="23"/>
      <c r="X37" s="63" t="s">
        <v>132</v>
      </c>
      <c r="Y37" s="4" t="s">
        <v>32</v>
      </c>
      <c r="Z37" s="10" t="str">
        <f>_xlfn.DISPIMG("ID_F5A5121B804C4D2AAFC7B653607E3367",1)</f>
        <v>=DISPIMG("ID_F5A5121B804C4D2AAFC7B653607E3367",1)</v>
      </c>
      <c r="AA37" s="10" t="s">
        <v>34</v>
      </c>
      <c r="AB37" s="10" t="s">
        <v>133</v>
      </c>
      <c r="AC37" s="10"/>
    </row>
    <row r="38" s="2" customFormat="1" ht="313.5" spans="1:29">
      <c r="A38" s="10" t="s">
        <v>29</v>
      </c>
      <c r="B38" s="28" t="s">
        <v>53</v>
      </c>
      <c r="C38" s="29" t="s">
        <v>127</v>
      </c>
      <c r="D38" s="29" t="s">
        <v>128</v>
      </c>
      <c r="E38" s="29"/>
      <c r="F38" s="29"/>
      <c r="G38" s="35"/>
      <c r="H38" s="29"/>
      <c r="I38" s="10"/>
      <c r="J38" s="10"/>
      <c r="K38" s="10"/>
      <c r="L38" s="10"/>
      <c r="M38" s="10"/>
      <c r="N38" s="10"/>
      <c r="O38" s="10"/>
      <c r="P38" s="10"/>
      <c r="Q38" s="10"/>
      <c r="R38" s="10"/>
      <c r="S38" s="63" t="s">
        <v>134</v>
      </c>
      <c r="T38" s="4" t="s">
        <v>68</v>
      </c>
      <c r="U38" s="63" t="s">
        <v>135</v>
      </c>
      <c r="V38" s="24" t="s">
        <v>136</v>
      </c>
      <c r="W38" s="23"/>
      <c r="X38" s="63" t="s">
        <v>134</v>
      </c>
      <c r="Y38" s="4" t="s">
        <v>68</v>
      </c>
      <c r="Z38" s="10" t="str">
        <f>_xlfn.DISPIMG("ID_B0E983FFD1EE4DE2892DC721D8B7038C",1)</f>
        <v>=DISPIMG("ID_B0E983FFD1EE4DE2892DC721D8B7038C",1)</v>
      </c>
      <c r="AA38" s="10" t="s">
        <v>34</v>
      </c>
      <c r="AB38" s="10" t="s">
        <v>137</v>
      </c>
      <c r="AC38" s="10"/>
    </row>
    <row r="39" s="2" customFormat="1" ht="102.65" spans="1:29">
      <c r="A39" s="10" t="s">
        <v>29</v>
      </c>
      <c r="B39" s="28" t="s">
        <v>53</v>
      </c>
      <c r="C39" s="29" t="s">
        <v>127</v>
      </c>
      <c r="D39" s="29" t="s">
        <v>128</v>
      </c>
      <c r="E39" s="28"/>
      <c r="F39" s="29"/>
      <c r="G39" s="35"/>
      <c r="H39" s="28" t="s">
        <v>138</v>
      </c>
      <c r="I39" s="10"/>
      <c r="J39" s="10"/>
      <c r="K39" s="10"/>
      <c r="L39" s="10"/>
      <c r="M39" s="10"/>
      <c r="N39" s="10"/>
      <c r="O39" s="10"/>
      <c r="P39" s="10"/>
      <c r="Q39" s="10"/>
      <c r="R39" s="10"/>
      <c r="S39" s="63" t="s">
        <v>139</v>
      </c>
      <c r="T39" s="4" t="s">
        <v>32</v>
      </c>
      <c r="U39" s="63" t="s">
        <v>139</v>
      </c>
      <c r="V39" s="10" t="s">
        <v>33</v>
      </c>
      <c r="W39" s="23"/>
      <c r="X39" s="63" t="s">
        <v>139</v>
      </c>
      <c r="Y39" s="4" t="s">
        <v>32</v>
      </c>
      <c r="Z39" s="10" t="str">
        <f>_xlfn.DISPIMG("ID_DB1A1FFF3DD94A89A71DDB09FE1DF907",1)</f>
        <v>=DISPIMG("ID_DB1A1FFF3DD94A89A71DDB09FE1DF907",1)</v>
      </c>
      <c r="AA39" s="10" t="s">
        <v>34</v>
      </c>
      <c r="AB39" s="10" t="s">
        <v>140</v>
      </c>
      <c r="AC39" s="10"/>
    </row>
    <row r="40" s="2" customFormat="1" ht="82.5" spans="1:29">
      <c r="A40" s="10" t="s">
        <v>29</v>
      </c>
      <c r="B40" s="28" t="s">
        <v>53</v>
      </c>
      <c r="C40" s="29" t="s">
        <v>127</v>
      </c>
      <c r="D40" s="29" t="s">
        <v>128</v>
      </c>
      <c r="E40" s="28"/>
      <c r="F40" s="29"/>
      <c r="G40" s="35"/>
      <c r="H40" s="28"/>
      <c r="I40" s="10"/>
      <c r="J40" s="10"/>
      <c r="K40" s="10"/>
      <c r="L40" s="10"/>
      <c r="M40" s="10"/>
      <c r="N40" s="10"/>
      <c r="O40" s="10"/>
      <c r="P40" s="10"/>
      <c r="Q40" s="10"/>
      <c r="R40" s="10"/>
      <c r="S40" s="63" t="s">
        <v>141</v>
      </c>
      <c r="T40" s="4" t="s">
        <v>68</v>
      </c>
      <c r="U40" s="63" t="s">
        <v>142</v>
      </c>
      <c r="V40" s="24" t="s">
        <v>136</v>
      </c>
      <c r="W40" s="23"/>
      <c r="X40" s="63" t="s">
        <v>141</v>
      </c>
      <c r="Y40" s="4" t="s">
        <v>68</v>
      </c>
      <c r="Z40" s="10" t="str">
        <f>_xlfn.DISPIMG("ID_1D17DF2F91284DF8BD9E76B58ADDE20A",1)</f>
        <v>=DISPIMG("ID_1D17DF2F91284DF8BD9E76B58ADDE20A",1)</v>
      </c>
      <c r="AA40" s="10" t="s">
        <v>34</v>
      </c>
      <c r="AB40" s="10" t="s">
        <v>143</v>
      </c>
      <c r="AC40" s="10"/>
    </row>
    <row r="41" s="2" customFormat="1" ht="103.3" spans="1:29">
      <c r="A41" s="10" t="s">
        <v>29</v>
      </c>
      <c r="B41" s="28" t="s">
        <v>53</v>
      </c>
      <c r="C41" s="29" t="s">
        <v>127</v>
      </c>
      <c r="D41" s="29" t="s">
        <v>128</v>
      </c>
      <c r="E41" s="28"/>
      <c r="F41" s="29"/>
      <c r="G41" s="35"/>
      <c r="H41" s="28"/>
      <c r="I41" s="10"/>
      <c r="J41" s="10"/>
      <c r="K41" s="10"/>
      <c r="L41" s="10"/>
      <c r="M41" s="10"/>
      <c r="N41" s="10"/>
      <c r="O41" s="10"/>
      <c r="P41" s="10"/>
      <c r="Q41" s="10"/>
      <c r="R41" s="10"/>
      <c r="S41" s="63" t="s">
        <v>144</v>
      </c>
      <c r="T41" s="4" t="s">
        <v>32</v>
      </c>
      <c r="U41" s="63" t="s">
        <v>144</v>
      </c>
      <c r="V41" s="10" t="s">
        <v>33</v>
      </c>
      <c r="W41" s="23"/>
      <c r="X41" s="63" t="s">
        <v>144</v>
      </c>
      <c r="Y41" s="4" t="s">
        <v>32</v>
      </c>
      <c r="Z41" s="10" t="str">
        <f>_xlfn.DISPIMG("ID_F189FDF0517D4E148DCD872393156641",1)</f>
        <v>=DISPIMG("ID_F189FDF0517D4E148DCD872393156641",1)</v>
      </c>
      <c r="AA41" s="10" t="s">
        <v>34</v>
      </c>
      <c r="AB41" s="10" t="s">
        <v>145</v>
      </c>
      <c r="AC41" s="10"/>
    </row>
    <row r="42" s="2" customFormat="1" ht="165" spans="1:29">
      <c r="A42" s="10" t="s">
        <v>29</v>
      </c>
      <c r="B42" s="28" t="s">
        <v>53</v>
      </c>
      <c r="C42" s="29" t="s">
        <v>127</v>
      </c>
      <c r="D42" s="29" t="s">
        <v>128</v>
      </c>
      <c r="E42" s="28"/>
      <c r="F42" s="29"/>
      <c r="G42" s="35"/>
      <c r="H42" s="28"/>
      <c r="I42" s="10"/>
      <c r="J42" s="10"/>
      <c r="K42" s="10"/>
      <c r="L42" s="10"/>
      <c r="M42" s="10"/>
      <c r="N42" s="10"/>
      <c r="O42" s="10"/>
      <c r="P42" s="10"/>
      <c r="Q42" s="10"/>
      <c r="R42" s="10"/>
      <c r="S42" s="63" t="s">
        <v>146</v>
      </c>
      <c r="T42" s="4" t="s">
        <v>68</v>
      </c>
      <c r="U42" s="63" t="s">
        <v>147</v>
      </c>
      <c r="V42" s="24" t="s">
        <v>136</v>
      </c>
      <c r="W42" s="23"/>
      <c r="X42" s="63" t="s">
        <v>146</v>
      </c>
      <c r="Y42" s="4" t="s">
        <v>68</v>
      </c>
      <c r="Z42" s="10" t="str">
        <f>_xlfn.DISPIMG("ID_A0B6DC32F8F1478F9CC3EC37BDC7044F",1)</f>
        <v>=DISPIMG("ID_A0B6DC32F8F1478F9CC3EC37BDC7044F",1)</v>
      </c>
      <c r="AA42" s="10" t="s">
        <v>34</v>
      </c>
      <c r="AB42" s="10" t="s">
        <v>148</v>
      </c>
      <c r="AC42" s="10"/>
    </row>
    <row r="43" s="2" customFormat="1" ht="101.6" spans="1:29">
      <c r="A43" s="10" t="s">
        <v>29</v>
      </c>
      <c r="B43" s="28" t="s">
        <v>53</v>
      </c>
      <c r="C43" s="29" t="s">
        <v>127</v>
      </c>
      <c r="D43" s="29" t="s">
        <v>128</v>
      </c>
      <c r="E43" s="28"/>
      <c r="F43" s="29"/>
      <c r="G43" s="35"/>
      <c r="H43" s="10" t="s">
        <v>149</v>
      </c>
      <c r="I43" s="10"/>
      <c r="J43" s="10"/>
      <c r="K43" s="10"/>
      <c r="L43" s="10"/>
      <c r="M43" s="10"/>
      <c r="N43" s="10"/>
      <c r="O43" s="10"/>
      <c r="P43" s="10"/>
      <c r="Q43" s="10"/>
      <c r="R43" s="10"/>
      <c r="S43" s="63" t="s">
        <v>149</v>
      </c>
      <c r="T43" s="4" t="s">
        <v>32</v>
      </c>
      <c r="U43" s="63" t="s">
        <v>149</v>
      </c>
      <c r="V43" s="10" t="s">
        <v>33</v>
      </c>
      <c r="W43" s="23"/>
      <c r="X43" s="63" t="s">
        <v>149</v>
      </c>
      <c r="Y43" s="4" t="s">
        <v>32</v>
      </c>
      <c r="Z43" s="10" t="str">
        <f>_xlfn.DISPIMG("ID_03C08D964F6A45ABB8ED51D072979E70",1)</f>
        <v>=DISPIMG("ID_03C08D964F6A45ABB8ED51D072979E70",1)</v>
      </c>
      <c r="AA43" s="10" t="s">
        <v>34</v>
      </c>
      <c r="AB43" s="10" t="s">
        <v>150</v>
      </c>
      <c r="AC43" s="10"/>
    </row>
    <row r="44" s="2" customFormat="1" ht="103.1" spans="1:29">
      <c r="A44" s="10" t="s">
        <v>29</v>
      </c>
      <c r="B44" s="28" t="s">
        <v>53</v>
      </c>
      <c r="C44" s="29" t="s">
        <v>127</v>
      </c>
      <c r="D44" s="29" t="s">
        <v>128</v>
      </c>
      <c r="E44" s="28"/>
      <c r="F44" s="29"/>
      <c r="G44" s="35"/>
      <c r="H44" s="28" t="s">
        <v>151</v>
      </c>
      <c r="I44" s="10"/>
      <c r="J44" s="10"/>
      <c r="K44" s="10"/>
      <c r="L44" s="10"/>
      <c r="M44" s="10"/>
      <c r="N44" s="10"/>
      <c r="O44" s="10"/>
      <c r="P44" s="10"/>
      <c r="Q44" s="10"/>
      <c r="R44" s="10"/>
      <c r="S44" s="63" t="s">
        <v>152</v>
      </c>
      <c r="T44" s="4" t="s">
        <v>32</v>
      </c>
      <c r="U44" s="63" t="s">
        <v>152</v>
      </c>
      <c r="V44" s="10" t="s">
        <v>33</v>
      </c>
      <c r="W44" s="23"/>
      <c r="X44" s="63" t="s">
        <v>152</v>
      </c>
      <c r="Y44" s="4" t="s">
        <v>32</v>
      </c>
      <c r="Z44" s="10" t="str">
        <f>_xlfn.DISPIMG("ID_F6B00ED1462D416FA918548B8F330838",1)</f>
        <v>=DISPIMG("ID_F6B00ED1462D416FA918548B8F330838",1)</v>
      </c>
      <c r="AA44" s="10" t="s">
        <v>34</v>
      </c>
      <c r="AB44" s="10" t="s">
        <v>153</v>
      </c>
      <c r="AC44" s="10"/>
    </row>
    <row r="45" s="2" customFormat="1" ht="96.35" spans="1:29">
      <c r="A45" s="10" t="s">
        <v>29</v>
      </c>
      <c r="B45" s="28" t="s">
        <v>53</v>
      </c>
      <c r="C45" s="29" t="s">
        <v>127</v>
      </c>
      <c r="D45" s="29" t="s">
        <v>128</v>
      </c>
      <c r="E45" s="28"/>
      <c r="F45" s="29"/>
      <c r="G45" s="35"/>
      <c r="H45" s="28"/>
      <c r="I45" s="10"/>
      <c r="J45" s="10"/>
      <c r="K45" s="10"/>
      <c r="L45" s="10"/>
      <c r="M45" s="10"/>
      <c r="N45" s="10"/>
      <c r="O45" s="10"/>
      <c r="P45" s="10"/>
      <c r="Q45" s="10"/>
      <c r="R45" s="10"/>
      <c r="S45" s="62" t="s">
        <v>154</v>
      </c>
      <c r="T45" s="4" t="s">
        <v>68</v>
      </c>
      <c r="U45" s="63" t="s">
        <v>155</v>
      </c>
      <c r="V45" s="24" t="s">
        <v>136</v>
      </c>
      <c r="W45" s="23"/>
      <c r="X45" s="62" t="s">
        <v>154</v>
      </c>
      <c r="Y45" s="4" t="s">
        <v>68</v>
      </c>
      <c r="Z45" s="10" t="str">
        <f>_xlfn.DISPIMG("ID_D720DDD7A33946A89AC5763D38539B10",1)</f>
        <v>=DISPIMG("ID_D720DDD7A33946A89AC5763D38539B10",1)</v>
      </c>
      <c r="AA45" s="10" t="s">
        <v>34</v>
      </c>
      <c r="AB45" s="10" t="s">
        <v>156</v>
      </c>
      <c r="AC45" s="10"/>
    </row>
    <row r="46" s="2" customFormat="1" ht="247.5" spans="1:29">
      <c r="A46" s="10" t="s">
        <v>29</v>
      </c>
      <c r="B46" s="28" t="s">
        <v>53</v>
      </c>
      <c r="C46" s="29" t="s">
        <v>127</v>
      </c>
      <c r="D46" s="29" t="s">
        <v>128</v>
      </c>
      <c r="E46" s="28"/>
      <c r="F46" s="29"/>
      <c r="G46" s="35"/>
      <c r="H46" s="28"/>
      <c r="I46" s="10"/>
      <c r="J46" s="10"/>
      <c r="K46" s="10"/>
      <c r="L46" s="10"/>
      <c r="M46" s="10"/>
      <c r="N46" s="10"/>
      <c r="O46" s="10"/>
      <c r="P46" s="10"/>
      <c r="Q46" s="10"/>
      <c r="R46" s="10"/>
      <c r="S46" s="62" t="s">
        <v>157</v>
      </c>
      <c r="T46" s="4" t="s">
        <v>68</v>
      </c>
      <c r="U46" s="63" t="s">
        <v>158</v>
      </c>
      <c r="V46" s="24" t="s">
        <v>136</v>
      </c>
      <c r="W46" s="23"/>
      <c r="X46" s="62" t="s">
        <v>157</v>
      </c>
      <c r="Y46" s="4" t="s">
        <v>68</v>
      </c>
      <c r="Z46" s="10" t="str">
        <f>_xlfn.DISPIMG("ID_A281B2AE37DA42EB97720516F6FBD382",1)</f>
        <v>=DISPIMG("ID_A281B2AE37DA42EB97720516F6FBD382",1)</v>
      </c>
      <c r="AA46" s="10" t="s">
        <v>34</v>
      </c>
      <c r="AB46" s="10" t="s">
        <v>159</v>
      </c>
      <c r="AC46" s="10"/>
    </row>
    <row r="47" s="2" customFormat="1" ht="102.55" spans="1:29">
      <c r="A47" s="10" t="s">
        <v>29</v>
      </c>
      <c r="B47" s="28" t="s">
        <v>53</v>
      </c>
      <c r="C47" s="29" t="s">
        <v>127</v>
      </c>
      <c r="D47" s="29" t="s">
        <v>128</v>
      </c>
      <c r="E47" s="28"/>
      <c r="F47" s="29"/>
      <c r="G47" s="35"/>
      <c r="H47" s="28" t="s">
        <v>160</v>
      </c>
      <c r="I47" s="10"/>
      <c r="J47" s="10"/>
      <c r="K47" s="10"/>
      <c r="L47" s="10"/>
      <c r="M47" s="10"/>
      <c r="N47" s="10"/>
      <c r="O47" s="10"/>
      <c r="P47" s="10"/>
      <c r="Q47" s="10"/>
      <c r="R47" s="10"/>
      <c r="S47" s="62" t="s">
        <v>161</v>
      </c>
      <c r="T47" s="4" t="s">
        <v>32</v>
      </c>
      <c r="U47" s="62" t="s">
        <v>161</v>
      </c>
      <c r="V47" s="10" t="s">
        <v>33</v>
      </c>
      <c r="W47" s="23"/>
      <c r="X47" s="62" t="s">
        <v>161</v>
      </c>
      <c r="Y47" s="4" t="s">
        <v>32</v>
      </c>
      <c r="Z47" s="10" t="str">
        <f>_xlfn.DISPIMG("ID_C9C22360213648DA9E4E59A848982297",1)</f>
        <v>=DISPIMG("ID_C9C22360213648DA9E4E59A848982297",1)</v>
      </c>
      <c r="AA47" s="10" t="s">
        <v>34</v>
      </c>
      <c r="AB47" s="10" t="s">
        <v>162</v>
      </c>
      <c r="AC47" s="10"/>
    </row>
    <row r="48" s="2" customFormat="1" ht="82.5" spans="1:29">
      <c r="A48" s="10" t="s">
        <v>29</v>
      </c>
      <c r="B48" s="28" t="s">
        <v>53</v>
      </c>
      <c r="C48" s="29" t="s">
        <v>127</v>
      </c>
      <c r="D48" s="29" t="s">
        <v>128</v>
      </c>
      <c r="E48" s="28"/>
      <c r="F48" s="29"/>
      <c r="G48" s="35"/>
      <c r="H48" s="28"/>
      <c r="I48" s="10"/>
      <c r="J48" s="10"/>
      <c r="K48" s="10"/>
      <c r="L48" s="10"/>
      <c r="M48" s="10"/>
      <c r="N48" s="10"/>
      <c r="O48" s="10"/>
      <c r="P48" s="10"/>
      <c r="Q48" s="10"/>
      <c r="R48" s="10"/>
      <c r="S48" s="62" t="s">
        <v>163</v>
      </c>
      <c r="T48" s="4" t="s">
        <v>68</v>
      </c>
      <c r="U48" s="63" t="s">
        <v>164</v>
      </c>
      <c r="V48" s="24" t="s">
        <v>136</v>
      </c>
      <c r="W48" s="23"/>
      <c r="X48" s="62" t="s">
        <v>163</v>
      </c>
      <c r="Y48" s="4" t="s">
        <v>68</v>
      </c>
      <c r="Z48" s="10" t="str">
        <f>_xlfn.DISPIMG("ID_9CDD033289904DB5A89D4F4C90B0789B",1)</f>
        <v>=DISPIMG("ID_9CDD033289904DB5A89D4F4C90B0789B",1)</v>
      </c>
      <c r="AA48" s="10" t="s">
        <v>34</v>
      </c>
      <c r="AB48" s="10" t="s">
        <v>165</v>
      </c>
      <c r="AC48" s="10"/>
    </row>
    <row r="49" s="2" customFormat="1" ht="148.5" spans="1:29">
      <c r="A49" s="10" t="s">
        <v>29</v>
      </c>
      <c r="B49" s="28" t="s">
        <v>53</v>
      </c>
      <c r="C49" s="29" t="s">
        <v>127</v>
      </c>
      <c r="D49" s="29" t="s">
        <v>128</v>
      </c>
      <c r="E49" s="28"/>
      <c r="F49" s="29"/>
      <c r="G49" s="35"/>
      <c r="H49" s="28"/>
      <c r="I49" s="10"/>
      <c r="J49" s="10"/>
      <c r="K49" s="10"/>
      <c r="L49" s="10"/>
      <c r="M49" s="10"/>
      <c r="N49" s="10"/>
      <c r="O49" s="10"/>
      <c r="P49" s="10"/>
      <c r="Q49" s="10"/>
      <c r="R49" s="10"/>
      <c r="S49" s="62" t="s">
        <v>166</v>
      </c>
      <c r="T49" s="4" t="s">
        <v>68</v>
      </c>
      <c r="U49" s="63" t="s">
        <v>167</v>
      </c>
      <c r="V49" s="24" t="s">
        <v>136</v>
      </c>
      <c r="W49" s="23"/>
      <c r="X49" s="62" t="s">
        <v>166</v>
      </c>
      <c r="Y49" s="4" t="s">
        <v>68</v>
      </c>
      <c r="Z49" s="10" t="str">
        <f>_xlfn.DISPIMG("ID_6C64DF5FB2E54CB0A340B2D494968D4D",1)</f>
        <v>=DISPIMG("ID_6C64DF5FB2E54CB0A340B2D494968D4D",1)</v>
      </c>
      <c r="AA49" s="10" t="s">
        <v>34</v>
      </c>
      <c r="AB49" s="10" t="s">
        <v>168</v>
      </c>
      <c r="AC49" s="10"/>
    </row>
    <row r="50" s="2" customFormat="1" ht="198" spans="1:29">
      <c r="A50" s="10" t="s">
        <v>29</v>
      </c>
      <c r="B50" s="28" t="s">
        <v>53</v>
      </c>
      <c r="C50" s="29" t="s">
        <v>127</v>
      </c>
      <c r="D50" s="29" t="s">
        <v>128</v>
      </c>
      <c r="E50" s="28"/>
      <c r="F50" s="29"/>
      <c r="G50" s="35"/>
      <c r="H50" s="28"/>
      <c r="I50" s="10"/>
      <c r="J50" s="10"/>
      <c r="K50" s="10"/>
      <c r="L50" s="10"/>
      <c r="M50" s="10"/>
      <c r="N50" s="10"/>
      <c r="O50" s="10"/>
      <c r="P50" s="10"/>
      <c r="Q50" s="10"/>
      <c r="R50" s="10"/>
      <c r="S50" s="62" t="s">
        <v>169</v>
      </c>
      <c r="T50" s="4" t="s">
        <v>68</v>
      </c>
      <c r="U50" s="63" t="s">
        <v>170</v>
      </c>
      <c r="V50" s="24" t="s">
        <v>136</v>
      </c>
      <c r="W50" s="23"/>
      <c r="X50" s="62" t="s">
        <v>169</v>
      </c>
      <c r="Y50" s="4" t="s">
        <v>68</v>
      </c>
      <c r="Z50" s="10" t="str">
        <f>_xlfn.DISPIMG("ID_82DA22E17A4949DFBF2299250D519F08",1)</f>
        <v>=DISPIMG("ID_82DA22E17A4949DFBF2299250D519F08",1)</v>
      </c>
      <c r="AA50" s="10" t="s">
        <v>34</v>
      </c>
      <c r="AB50" s="10" t="s">
        <v>171</v>
      </c>
      <c r="AC50" s="10"/>
    </row>
    <row r="51" s="2" customFormat="1" ht="198" spans="1:29">
      <c r="A51" s="10" t="s">
        <v>29</v>
      </c>
      <c r="B51" s="28" t="s">
        <v>53</v>
      </c>
      <c r="C51" s="29" t="s">
        <v>127</v>
      </c>
      <c r="D51" s="29" t="s">
        <v>128</v>
      </c>
      <c r="E51" s="28"/>
      <c r="F51" s="29"/>
      <c r="G51" s="35"/>
      <c r="H51" s="28"/>
      <c r="I51" s="10"/>
      <c r="J51" s="10"/>
      <c r="K51" s="10"/>
      <c r="L51" s="10"/>
      <c r="M51" s="10"/>
      <c r="N51" s="10"/>
      <c r="O51" s="10"/>
      <c r="P51" s="10"/>
      <c r="Q51" s="10"/>
      <c r="R51" s="10"/>
      <c r="S51" s="62" t="s">
        <v>172</v>
      </c>
      <c r="T51" s="4" t="s">
        <v>68</v>
      </c>
      <c r="U51" s="63" t="s">
        <v>173</v>
      </c>
      <c r="V51" s="24" t="s">
        <v>136</v>
      </c>
      <c r="W51" s="23"/>
      <c r="X51" s="62" t="s">
        <v>172</v>
      </c>
      <c r="Y51" s="4" t="s">
        <v>68</v>
      </c>
      <c r="Z51" s="10" t="str">
        <f>_xlfn.DISPIMG("ID_16FACBC3A5694C369473BE3B4757690A",1)</f>
        <v>=DISPIMG("ID_16FACBC3A5694C369473BE3B4757690A",1)</v>
      </c>
      <c r="AA51" s="10" t="s">
        <v>34</v>
      </c>
      <c r="AB51" s="10" t="s">
        <v>174</v>
      </c>
      <c r="AC51" s="10"/>
    </row>
    <row r="52" s="2" customFormat="1" ht="105.1" spans="1:29">
      <c r="A52" s="10" t="s">
        <v>29</v>
      </c>
      <c r="B52" s="28" t="s">
        <v>53</v>
      </c>
      <c r="C52" s="29" t="s">
        <v>127</v>
      </c>
      <c r="D52" s="29" t="s">
        <v>128</v>
      </c>
      <c r="E52" s="28"/>
      <c r="F52" s="29"/>
      <c r="G52" s="35"/>
      <c r="H52" s="28"/>
      <c r="I52" s="10"/>
      <c r="J52" s="10"/>
      <c r="K52" s="10"/>
      <c r="L52" s="10"/>
      <c r="M52" s="10"/>
      <c r="N52" s="10"/>
      <c r="O52" s="10"/>
      <c r="P52" s="10"/>
      <c r="Q52" s="10"/>
      <c r="R52" s="10"/>
      <c r="S52" s="62" t="s">
        <v>175</v>
      </c>
      <c r="T52" s="4" t="s">
        <v>32</v>
      </c>
      <c r="U52" s="62" t="s">
        <v>175</v>
      </c>
      <c r="V52" s="10" t="s">
        <v>33</v>
      </c>
      <c r="W52" s="23"/>
      <c r="X52" s="62" t="s">
        <v>175</v>
      </c>
      <c r="Y52" s="4" t="s">
        <v>32</v>
      </c>
      <c r="Z52" s="10" t="str">
        <f>_xlfn.DISPIMG("ID_33D5BC4ED36B419DAB146DA97AB9F119",1)</f>
        <v>=DISPIMG("ID_33D5BC4ED36B419DAB146DA97AB9F119",1)</v>
      </c>
      <c r="AA52" s="10" t="s">
        <v>34</v>
      </c>
      <c r="AB52" s="10" t="s">
        <v>176</v>
      </c>
      <c r="AC52" s="10"/>
    </row>
    <row r="53" s="2" customFormat="1" ht="102.85" spans="1:29">
      <c r="A53" s="10" t="s">
        <v>29</v>
      </c>
      <c r="B53" s="28" t="s">
        <v>53</v>
      </c>
      <c r="C53" s="29" t="s">
        <v>127</v>
      </c>
      <c r="D53" s="29" t="s">
        <v>177</v>
      </c>
      <c r="E53" s="29"/>
      <c r="F53" s="29"/>
      <c r="G53" s="35"/>
      <c r="H53" s="29" t="s">
        <v>178</v>
      </c>
      <c r="I53" s="10"/>
      <c r="J53" s="10"/>
      <c r="K53" s="10"/>
      <c r="L53" s="10"/>
      <c r="M53" s="10"/>
      <c r="N53" s="10"/>
      <c r="O53" s="10"/>
      <c r="P53" s="10"/>
      <c r="Q53" s="10"/>
      <c r="R53" s="10"/>
      <c r="S53" s="63" t="s">
        <v>178</v>
      </c>
      <c r="T53" s="4" t="s">
        <v>32</v>
      </c>
      <c r="U53" s="63" t="s">
        <v>178</v>
      </c>
      <c r="V53" s="10" t="s">
        <v>33</v>
      </c>
      <c r="W53" s="23"/>
      <c r="X53" s="63" t="s">
        <v>178</v>
      </c>
      <c r="Y53" s="4" t="s">
        <v>32</v>
      </c>
      <c r="Z53" s="10" t="str">
        <f>_xlfn.DISPIMG("ID_9611CDB3EEE44D6CBE80E2F5AB135283",1)</f>
        <v>=DISPIMG("ID_9611CDB3EEE44D6CBE80E2F5AB135283",1)</v>
      </c>
      <c r="AA53" s="10" t="s">
        <v>34</v>
      </c>
      <c r="AB53" s="10" t="s">
        <v>179</v>
      </c>
      <c r="AC53" s="10"/>
    </row>
    <row r="54" s="2" customFormat="1" ht="82.5" spans="1:29">
      <c r="A54" s="10" t="s">
        <v>29</v>
      </c>
      <c r="B54" s="28" t="s">
        <v>53</v>
      </c>
      <c r="C54" s="29" t="s">
        <v>127</v>
      </c>
      <c r="D54" s="29" t="s">
        <v>177</v>
      </c>
      <c r="E54" s="29"/>
      <c r="F54" s="29"/>
      <c r="G54" s="35"/>
      <c r="H54" s="29"/>
      <c r="I54" s="10"/>
      <c r="J54" s="10"/>
      <c r="K54" s="10"/>
      <c r="L54" s="10"/>
      <c r="M54" s="10"/>
      <c r="N54" s="10"/>
      <c r="O54" s="10"/>
      <c r="P54" s="10"/>
      <c r="Q54" s="10"/>
      <c r="R54" s="10"/>
      <c r="S54" s="63" t="s">
        <v>180</v>
      </c>
      <c r="T54" s="4" t="s">
        <v>68</v>
      </c>
      <c r="U54" s="63" t="s">
        <v>181</v>
      </c>
      <c r="V54" s="24" t="s">
        <v>136</v>
      </c>
      <c r="W54" s="23"/>
      <c r="X54" s="63" t="s">
        <v>180</v>
      </c>
      <c r="Y54" s="4" t="s">
        <v>68</v>
      </c>
      <c r="Z54" s="10" t="str">
        <f>_xlfn.DISPIMG("ID_7B61720C15CC45BBBA7D9515D9D944D1",1)</f>
        <v>=DISPIMG("ID_7B61720C15CC45BBBA7D9515D9D944D1",1)</v>
      </c>
      <c r="AA54" s="10" t="s">
        <v>34</v>
      </c>
      <c r="AB54" s="10" t="s">
        <v>182</v>
      </c>
      <c r="AC54" s="10"/>
    </row>
    <row r="55" s="2" customFormat="1" ht="100.65" spans="1:29">
      <c r="A55" s="10" t="s">
        <v>29</v>
      </c>
      <c r="B55" s="28" t="s">
        <v>53</v>
      </c>
      <c r="C55" s="29" t="s">
        <v>127</v>
      </c>
      <c r="D55" s="29" t="s">
        <v>177</v>
      </c>
      <c r="E55" s="29"/>
      <c r="F55" s="29"/>
      <c r="G55" s="35"/>
      <c r="H55" s="23" t="s">
        <v>183</v>
      </c>
      <c r="I55" s="10"/>
      <c r="J55" s="10"/>
      <c r="K55" s="10"/>
      <c r="L55" s="10"/>
      <c r="M55" s="10"/>
      <c r="N55" s="10"/>
      <c r="O55" s="10"/>
      <c r="P55" s="10"/>
      <c r="Q55" s="10"/>
      <c r="R55" s="10"/>
      <c r="S55" s="63" t="s">
        <v>183</v>
      </c>
      <c r="T55" s="4" t="s">
        <v>32</v>
      </c>
      <c r="U55" s="63" t="s">
        <v>183</v>
      </c>
      <c r="V55" s="10" t="s">
        <v>33</v>
      </c>
      <c r="W55" s="23"/>
      <c r="X55" s="63" t="s">
        <v>183</v>
      </c>
      <c r="Y55" s="4" t="s">
        <v>32</v>
      </c>
      <c r="Z55" s="10" t="str">
        <f>_xlfn.DISPIMG("ID_583856CF03664CF9AFDFA08174ABBC5C",1)</f>
        <v>=DISPIMG("ID_583856CF03664CF9AFDFA08174ABBC5C",1)</v>
      </c>
      <c r="AA55" s="10" t="s">
        <v>34</v>
      </c>
      <c r="AB55" s="10" t="s">
        <v>184</v>
      </c>
      <c r="AC55" s="10"/>
    </row>
    <row r="56" s="2" customFormat="1" ht="102.85" spans="1:29">
      <c r="A56" s="10" t="s">
        <v>29</v>
      </c>
      <c r="B56" s="28" t="s">
        <v>53</v>
      </c>
      <c r="C56" s="29" t="s">
        <v>127</v>
      </c>
      <c r="D56" s="29" t="s">
        <v>177</v>
      </c>
      <c r="E56" s="29"/>
      <c r="F56" s="29"/>
      <c r="G56" s="35"/>
      <c r="H56" s="23" t="s">
        <v>185</v>
      </c>
      <c r="I56" s="10"/>
      <c r="J56" s="10"/>
      <c r="K56" s="10"/>
      <c r="L56" s="10"/>
      <c r="M56" s="10"/>
      <c r="N56" s="10"/>
      <c r="O56" s="10"/>
      <c r="P56" s="10"/>
      <c r="Q56" s="10"/>
      <c r="R56" s="10"/>
      <c r="S56" s="63" t="s">
        <v>186</v>
      </c>
      <c r="T56" s="4" t="s">
        <v>32</v>
      </c>
      <c r="U56" s="63" t="s">
        <v>186</v>
      </c>
      <c r="V56" s="10" t="s">
        <v>33</v>
      </c>
      <c r="W56" s="23"/>
      <c r="X56" s="63" t="s">
        <v>186</v>
      </c>
      <c r="Y56" s="4" t="s">
        <v>32</v>
      </c>
      <c r="Z56" s="10" t="str">
        <f>_xlfn.DISPIMG("ID_9E170A2EC6BF40339F21504BC5B5D423",1)</f>
        <v>=DISPIMG("ID_9E170A2EC6BF40339F21504BC5B5D423",1)</v>
      </c>
      <c r="AA56" s="10" t="s">
        <v>34</v>
      </c>
      <c r="AB56" s="10" t="s">
        <v>187</v>
      </c>
      <c r="AC56" s="10"/>
    </row>
    <row r="57" s="2" customFormat="1" ht="100.5" spans="1:29">
      <c r="A57" s="10" t="s">
        <v>29</v>
      </c>
      <c r="B57" s="28" t="s">
        <v>53</v>
      </c>
      <c r="C57" s="29" t="s">
        <v>127</v>
      </c>
      <c r="D57" s="29" t="s">
        <v>188</v>
      </c>
      <c r="E57" s="29"/>
      <c r="F57" s="29"/>
      <c r="G57" s="35"/>
      <c r="H57" s="29" t="s">
        <v>189</v>
      </c>
      <c r="I57" s="10"/>
      <c r="J57" s="10"/>
      <c r="K57" s="10"/>
      <c r="L57" s="10"/>
      <c r="M57" s="10"/>
      <c r="N57" s="10"/>
      <c r="O57" s="10"/>
      <c r="P57" s="10"/>
      <c r="Q57" s="10"/>
      <c r="R57" s="10"/>
      <c r="S57" s="63" t="s">
        <v>189</v>
      </c>
      <c r="T57" s="4" t="s">
        <v>32</v>
      </c>
      <c r="U57" s="63" t="s">
        <v>189</v>
      </c>
      <c r="V57" s="10" t="s">
        <v>33</v>
      </c>
      <c r="W57" s="23"/>
      <c r="X57" s="63" t="s">
        <v>189</v>
      </c>
      <c r="Y57" s="4" t="s">
        <v>32</v>
      </c>
      <c r="Z57" s="10" t="str">
        <f>_xlfn.DISPIMG("ID_5792D612C8214D688F21E8D568AE6584",1)</f>
        <v>=DISPIMG("ID_5792D612C8214D688F21E8D568AE6584",1)</v>
      </c>
      <c r="AA57" s="10" t="s">
        <v>34</v>
      </c>
      <c r="AB57" s="10" t="s">
        <v>190</v>
      </c>
      <c r="AC57" s="10"/>
    </row>
    <row r="58" s="2" customFormat="1" ht="82.5" spans="1:29">
      <c r="A58" s="10" t="s">
        <v>29</v>
      </c>
      <c r="B58" s="28" t="s">
        <v>53</v>
      </c>
      <c r="C58" s="29" t="s">
        <v>127</v>
      </c>
      <c r="D58" s="29" t="s">
        <v>188</v>
      </c>
      <c r="E58" s="29"/>
      <c r="F58" s="29"/>
      <c r="G58" s="35"/>
      <c r="H58" s="29"/>
      <c r="I58" s="10"/>
      <c r="J58" s="10"/>
      <c r="K58" s="10"/>
      <c r="L58" s="10"/>
      <c r="M58" s="10"/>
      <c r="N58" s="10"/>
      <c r="O58" s="10"/>
      <c r="P58" s="10"/>
      <c r="Q58" s="10"/>
      <c r="R58" s="10"/>
      <c r="S58" s="63" t="s">
        <v>191</v>
      </c>
      <c r="T58" s="4" t="s">
        <v>68</v>
      </c>
      <c r="U58" s="63" t="s">
        <v>192</v>
      </c>
      <c r="V58" s="24" t="s">
        <v>136</v>
      </c>
      <c r="W58" s="23"/>
      <c r="X58" s="63" t="s">
        <v>191</v>
      </c>
      <c r="Y58" s="4" t="s">
        <v>68</v>
      </c>
      <c r="Z58" s="10" t="str">
        <f>_xlfn.DISPIMG("ID_DF92BACDB1444A09A2249D786953E992",1)</f>
        <v>=DISPIMG("ID_DF92BACDB1444A09A2249D786953E992",1)</v>
      </c>
      <c r="AA58" s="10" t="s">
        <v>34</v>
      </c>
      <c r="AB58" s="10" t="s">
        <v>193</v>
      </c>
      <c r="AC58" s="10"/>
    </row>
    <row r="59" s="2" customFormat="1" ht="102.8" spans="1:29">
      <c r="A59" s="10" t="s">
        <v>29</v>
      </c>
      <c r="B59" s="28" t="s">
        <v>53</v>
      </c>
      <c r="C59" s="29" t="s">
        <v>127</v>
      </c>
      <c r="D59" s="29" t="s">
        <v>188</v>
      </c>
      <c r="E59" s="29"/>
      <c r="F59" s="29"/>
      <c r="G59" s="35"/>
      <c r="H59" s="23" t="s">
        <v>194</v>
      </c>
      <c r="I59" s="10"/>
      <c r="J59" s="10"/>
      <c r="K59" s="10"/>
      <c r="L59" s="10"/>
      <c r="M59" s="10"/>
      <c r="N59" s="10"/>
      <c r="O59" s="10"/>
      <c r="P59" s="10"/>
      <c r="Q59" s="10"/>
      <c r="R59" s="10"/>
      <c r="S59" s="63" t="s">
        <v>194</v>
      </c>
      <c r="T59" s="4" t="s">
        <v>32</v>
      </c>
      <c r="U59" s="63" t="s">
        <v>194</v>
      </c>
      <c r="V59" s="10" t="s">
        <v>33</v>
      </c>
      <c r="W59" s="23"/>
      <c r="X59" s="63" t="s">
        <v>194</v>
      </c>
      <c r="Y59" s="4" t="s">
        <v>32</v>
      </c>
      <c r="Z59" s="10" t="str">
        <f>_xlfn.DISPIMG("ID_4B19E2B33E1E4EA890E1B2AB6305601E",1)</f>
        <v>=DISPIMG("ID_4B19E2B33E1E4EA890E1B2AB6305601E",1)</v>
      </c>
      <c r="AA59" s="10" t="s">
        <v>34</v>
      </c>
      <c r="AB59" s="10" t="s">
        <v>195</v>
      </c>
      <c r="AC59" s="10"/>
    </row>
    <row r="60" s="2" customFormat="1" ht="102.35" spans="1:29">
      <c r="A60" s="10" t="s">
        <v>29</v>
      </c>
      <c r="B60" s="28" t="s">
        <v>53</v>
      </c>
      <c r="C60" s="29" t="s">
        <v>127</v>
      </c>
      <c r="D60" s="29" t="s">
        <v>188</v>
      </c>
      <c r="E60" s="29"/>
      <c r="F60" s="29"/>
      <c r="G60" s="35"/>
      <c r="H60" s="23" t="s">
        <v>185</v>
      </c>
      <c r="I60" s="10"/>
      <c r="J60" s="10"/>
      <c r="K60" s="10"/>
      <c r="L60" s="10"/>
      <c r="M60" s="10"/>
      <c r="N60" s="10"/>
      <c r="O60" s="10"/>
      <c r="P60" s="10"/>
      <c r="Q60" s="10"/>
      <c r="R60" s="10"/>
      <c r="S60" s="63" t="s">
        <v>196</v>
      </c>
      <c r="T60" s="4" t="s">
        <v>32</v>
      </c>
      <c r="U60" s="63" t="s">
        <v>196</v>
      </c>
      <c r="V60" s="10" t="s">
        <v>33</v>
      </c>
      <c r="W60" s="23"/>
      <c r="X60" s="63" t="s">
        <v>196</v>
      </c>
      <c r="Y60" s="4" t="s">
        <v>32</v>
      </c>
      <c r="Z60" s="10" t="str">
        <f>_xlfn.DISPIMG("ID_6D4A49587C00401D9267A9EA13000ED4",1)</f>
        <v>=DISPIMG("ID_6D4A49587C00401D9267A9EA13000ED4",1)</v>
      </c>
      <c r="AA60" s="10" t="s">
        <v>34</v>
      </c>
      <c r="AB60" s="10" t="s">
        <v>197</v>
      </c>
      <c r="AC60" s="10"/>
    </row>
    <row r="61" s="2" customFormat="1" ht="102.25" spans="1:29">
      <c r="A61" s="10" t="s">
        <v>29</v>
      </c>
      <c r="B61" s="28" t="s">
        <v>53</v>
      </c>
      <c r="C61" s="29" t="s">
        <v>198</v>
      </c>
      <c r="D61" s="29" t="s">
        <v>199</v>
      </c>
      <c r="E61" s="29"/>
      <c r="F61" s="29"/>
      <c r="G61" s="35"/>
      <c r="H61" s="23" t="s">
        <v>200</v>
      </c>
      <c r="I61" s="10"/>
      <c r="J61" s="10"/>
      <c r="K61" s="10"/>
      <c r="L61" s="10"/>
      <c r="M61" s="10"/>
      <c r="N61" s="10"/>
      <c r="O61" s="10"/>
      <c r="P61" s="10"/>
      <c r="Q61" s="10"/>
      <c r="R61" s="10"/>
      <c r="S61" s="62" t="s">
        <v>200</v>
      </c>
      <c r="T61" s="4" t="s">
        <v>32</v>
      </c>
      <c r="U61" s="62" t="s">
        <v>200</v>
      </c>
      <c r="V61" s="10" t="s">
        <v>33</v>
      </c>
      <c r="W61" s="23"/>
      <c r="X61" s="62" t="s">
        <v>200</v>
      </c>
      <c r="Y61" s="4" t="s">
        <v>32</v>
      </c>
      <c r="Z61" s="10" t="str">
        <f>_xlfn.DISPIMG("ID_73C091E519B04E39987BEC09D843D0A0",1)</f>
        <v>=DISPIMG("ID_73C091E519B04E39987BEC09D843D0A0",1)</v>
      </c>
      <c r="AA61" s="10" t="s">
        <v>34</v>
      </c>
      <c r="AB61" s="10" t="s">
        <v>201</v>
      </c>
      <c r="AC61" s="10"/>
    </row>
    <row r="62" s="2" customFormat="1" ht="102.05" spans="1:29">
      <c r="A62" s="10" t="s">
        <v>29</v>
      </c>
      <c r="B62" s="28" t="s">
        <v>53</v>
      </c>
      <c r="C62" s="29" t="s">
        <v>198</v>
      </c>
      <c r="D62" s="29" t="s">
        <v>199</v>
      </c>
      <c r="E62" s="29"/>
      <c r="F62" s="29"/>
      <c r="G62" s="35"/>
      <c r="H62" s="23" t="s">
        <v>202</v>
      </c>
      <c r="I62" s="10"/>
      <c r="J62" s="10"/>
      <c r="K62" s="10"/>
      <c r="L62" s="10"/>
      <c r="M62" s="10"/>
      <c r="N62" s="10"/>
      <c r="O62" s="10"/>
      <c r="P62" s="10"/>
      <c r="Q62" s="10"/>
      <c r="R62" s="10"/>
      <c r="S62" s="62" t="s">
        <v>203</v>
      </c>
      <c r="T62" s="4" t="s">
        <v>32</v>
      </c>
      <c r="U62" s="62" t="s">
        <v>203</v>
      </c>
      <c r="V62" s="10" t="s">
        <v>33</v>
      </c>
      <c r="W62" s="23"/>
      <c r="X62" s="62" t="s">
        <v>203</v>
      </c>
      <c r="Y62" s="4" t="s">
        <v>32</v>
      </c>
      <c r="Z62" s="10" t="str">
        <f>_xlfn.DISPIMG("ID_F2E37CF70055486381DAA4A53B2E5F01",1)</f>
        <v>=DISPIMG("ID_F2E37CF70055486381DAA4A53B2E5F01",1)</v>
      </c>
      <c r="AA62" s="10" t="s">
        <v>34</v>
      </c>
      <c r="AB62" s="10" t="s">
        <v>204</v>
      </c>
      <c r="AC62" s="10"/>
    </row>
    <row r="63" s="2" customFormat="1" ht="110.7" spans="1:29">
      <c r="A63" s="10" t="s">
        <v>29</v>
      </c>
      <c r="B63" s="28" t="s">
        <v>53</v>
      </c>
      <c r="C63" s="29" t="s">
        <v>198</v>
      </c>
      <c r="D63" s="29" t="s">
        <v>199</v>
      </c>
      <c r="E63" s="29"/>
      <c r="F63" s="29"/>
      <c r="G63" s="35"/>
      <c r="H63" s="23" t="s">
        <v>205</v>
      </c>
      <c r="I63" s="10"/>
      <c r="J63" s="10"/>
      <c r="K63" s="10"/>
      <c r="L63" s="10"/>
      <c r="M63" s="10"/>
      <c r="N63" s="10"/>
      <c r="O63" s="10"/>
      <c r="P63" s="10"/>
      <c r="Q63" s="10"/>
      <c r="R63" s="10"/>
      <c r="S63" s="62" t="s">
        <v>205</v>
      </c>
      <c r="T63" s="4" t="s">
        <v>32</v>
      </c>
      <c r="U63" s="62" t="s">
        <v>205</v>
      </c>
      <c r="V63" s="10" t="s">
        <v>33</v>
      </c>
      <c r="W63" s="23"/>
      <c r="X63" s="62" t="s">
        <v>205</v>
      </c>
      <c r="Y63" s="4" t="s">
        <v>32</v>
      </c>
      <c r="Z63" s="10" t="str">
        <f>_xlfn.DISPIMG("ID_4A0B6845EFFA4AF096B0A281CF6CE1D4",1)</f>
        <v>=DISPIMG("ID_4A0B6845EFFA4AF096B0A281CF6CE1D4",1)</v>
      </c>
      <c r="AA63" s="10" t="s">
        <v>34</v>
      </c>
      <c r="AB63" s="10" t="s">
        <v>206</v>
      </c>
      <c r="AC63" s="10"/>
    </row>
    <row r="64" s="2" customFormat="1" ht="103.85" spans="1:29">
      <c r="A64" s="10" t="s">
        <v>29</v>
      </c>
      <c r="B64" s="28" t="s">
        <v>53</v>
      </c>
      <c r="C64" s="29" t="s">
        <v>198</v>
      </c>
      <c r="D64" s="29" t="s">
        <v>199</v>
      </c>
      <c r="E64" s="29"/>
      <c r="F64" s="29"/>
      <c r="G64" s="35"/>
      <c r="H64" s="29" t="s">
        <v>207</v>
      </c>
      <c r="I64" s="10"/>
      <c r="J64" s="10"/>
      <c r="K64" s="10"/>
      <c r="L64" s="10"/>
      <c r="M64" s="10"/>
      <c r="N64" s="10"/>
      <c r="O64" s="10"/>
      <c r="P64" s="10"/>
      <c r="Q64" s="10"/>
      <c r="R64" s="10"/>
      <c r="S64" s="62" t="s">
        <v>207</v>
      </c>
      <c r="T64" s="4" t="s">
        <v>32</v>
      </c>
      <c r="U64" s="62" t="s">
        <v>207</v>
      </c>
      <c r="V64" s="10" t="s">
        <v>33</v>
      </c>
      <c r="W64" s="23"/>
      <c r="X64" s="62" t="s">
        <v>207</v>
      </c>
      <c r="Y64" s="4" t="s">
        <v>32</v>
      </c>
      <c r="Z64" s="10" t="str">
        <f>_xlfn.DISPIMG("ID_7AB17434544D45D1A83B54B17892A14C",1)</f>
        <v>=DISPIMG("ID_7AB17434544D45D1A83B54B17892A14C",1)</v>
      </c>
      <c r="AA64" s="10" t="s">
        <v>34</v>
      </c>
      <c r="AB64" s="10" t="s">
        <v>208</v>
      </c>
      <c r="AC64" s="10"/>
    </row>
    <row r="65" s="2" customFormat="1" ht="192.5" spans="1:29">
      <c r="A65" s="10" t="s">
        <v>29</v>
      </c>
      <c r="B65" s="28" t="s">
        <v>53</v>
      </c>
      <c r="C65" s="29" t="s">
        <v>198</v>
      </c>
      <c r="D65" s="29" t="s">
        <v>199</v>
      </c>
      <c r="E65" s="29"/>
      <c r="F65" s="29"/>
      <c r="G65" s="35"/>
      <c r="H65" s="29"/>
      <c r="I65" s="10"/>
      <c r="J65" s="10"/>
      <c r="K65" s="10"/>
      <c r="L65" s="10"/>
      <c r="M65" s="10"/>
      <c r="N65" s="10"/>
      <c r="O65" s="10"/>
      <c r="P65" s="10"/>
      <c r="Q65" s="10"/>
      <c r="R65" s="10"/>
      <c r="S65" s="62" t="s">
        <v>209</v>
      </c>
      <c r="T65" s="4" t="s">
        <v>58</v>
      </c>
      <c r="U65" s="62" t="s">
        <v>209</v>
      </c>
      <c r="V65" s="24" t="s">
        <v>210</v>
      </c>
      <c r="W65" s="23"/>
      <c r="X65" s="62" t="s">
        <v>209</v>
      </c>
      <c r="Y65" s="4" t="s">
        <v>58</v>
      </c>
      <c r="Z65" s="10" t="str">
        <f>_xlfn.DISPIMG("ID_292B62421BF246A49D1F015FB44B6D1E",1)</f>
        <v>=DISPIMG("ID_292B62421BF246A49D1F015FB44B6D1E",1)</v>
      </c>
      <c r="AA65" s="10" t="s">
        <v>34</v>
      </c>
      <c r="AB65" s="10" t="s">
        <v>211</v>
      </c>
      <c r="AC65" s="10"/>
    </row>
    <row r="66" s="2" customFormat="1" ht="103.3" spans="1:29">
      <c r="A66" s="10" t="s">
        <v>29</v>
      </c>
      <c r="B66" s="28" t="s">
        <v>53</v>
      </c>
      <c r="C66" s="29" t="s">
        <v>198</v>
      </c>
      <c r="D66" s="29" t="s">
        <v>199</v>
      </c>
      <c r="E66" s="29"/>
      <c r="F66" s="29"/>
      <c r="G66" s="35"/>
      <c r="H66" s="23" t="s">
        <v>212</v>
      </c>
      <c r="I66" s="10"/>
      <c r="J66" s="10"/>
      <c r="K66" s="10"/>
      <c r="L66" s="10"/>
      <c r="M66" s="10"/>
      <c r="N66" s="10"/>
      <c r="O66" s="10"/>
      <c r="P66" s="10"/>
      <c r="Q66" s="10"/>
      <c r="R66" s="10"/>
      <c r="S66" s="62" t="s">
        <v>212</v>
      </c>
      <c r="T66" s="4" t="s">
        <v>32</v>
      </c>
      <c r="U66" s="62" t="s">
        <v>212</v>
      </c>
      <c r="V66" s="10" t="s">
        <v>33</v>
      </c>
      <c r="W66" s="23"/>
      <c r="X66" s="62" t="s">
        <v>212</v>
      </c>
      <c r="Y66" s="4" t="s">
        <v>32</v>
      </c>
      <c r="Z66" s="10" t="str">
        <f>_xlfn.DISPIMG("ID_EAD72AE173824D63893FB1AED9D23195",1)</f>
        <v>=DISPIMG("ID_EAD72AE173824D63893FB1AED9D23195",1)</v>
      </c>
      <c r="AA66" s="10" t="s">
        <v>34</v>
      </c>
      <c r="AB66" s="10" t="s">
        <v>213</v>
      </c>
      <c r="AC66" s="10"/>
    </row>
    <row r="67" s="2" customFormat="1" ht="101.5" spans="1:29">
      <c r="A67" s="10" t="s">
        <v>29</v>
      </c>
      <c r="B67" s="28" t="s">
        <v>53</v>
      </c>
      <c r="C67" s="29" t="s">
        <v>198</v>
      </c>
      <c r="D67" s="29" t="s">
        <v>214</v>
      </c>
      <c r="E67" s="29"/>
      <c r="F67" s="29"/>
      <c r="G67" s="35"/>
      <c r="H67" s="23" t="s">
        <v>215</v>
      </c>
      <c r="I67" s="10"/>
      <c r="J67" s="10"/>
      <c r="K67" s="10"/>
      <c r="L67" s="10"/>
      <c r="M67" s="10"/>
      <c r="N67" s="10"/>
      <c r="O67" s="10"/>
      <c r="P67" s="10"/>
      <c r="Q67" s="10"/>
      <c r="R67" s="10"/>
      <c r="S67" s="62" t="s">
        <v>215</v>
      </c>
      <c r="T67" s="4" t="s">
        <v>32</v>
      </c>
      <c r="U67" s="62" t="s">
        <v>215</v>
      </c>
      <c r="V67" s="10" t="s">
        <v>33</v>
      </c>
      <c r="W67" s="23"/>
      <c r="X67" s="62" t="s">
        <v>215</v>
      </c>
      <c r="Y67" s="4" t="s">
        <v>32</v>
      </c>
      <c r="Z67" s="10" t="str">
        <f>_xlfn.DISPIMG("ID_CADAF501B3D74579A8FB417CF1A89334",1)</f>
        <v>=DISPIMG("ID_CADAF501B3D74579A8FB417CF1A89334",1)</v>
      </c>
      <c r="AA67" s="10" t="s">
        <v>34</v>
      </c>
      <c r="AB67" s="10" t="s">
        <v>216</v>
      </c>
      <c r="AC67" s="10"/>
    </row>
    <row r="68" s="2" customFormat="1" ht="100.75" spans="1:29">
      <c r="A68" s="10" t="s">
        <v>29</v>
      </c>
      <c r="B68" s="28" t="s">
        <v>53</v>
      </c>
      <c r="C68" s="29" t="s">
        <v>198</v>
      </c>
      <c r="D68" s="29" t="s">
        <v>214</v>
      </c>
      <c r="E68" s="29"/>
      <c r="F68" s="29"/>
      <c r="G68" s="35"/>
      <c r="H68" s="23" t="s">
        <v>217</v>
      </c>
      <c r="I68" s="10"/>
      <c r="J68" s="10"/>
      <c r="K68" s="10"/>
      <c r="L68" s="10"/>
      <c r="M68" s="10"/>
      <c r="N68" s="10"/>
      <c r="O68" s="10"/>
      <c r="P68" s="10"/>
      <c r="Q68" s="10"/>
      <c r="R68" s="10"/>
      <c r="S68" s="62" t="s">
        <v>218</v>
      </c>
      <c r="T68" s="4" t="s">
        <v>32</v>
      </c>
      <c r="U68" s="62" t="s">
        <v>218</v>
      </c>
      <c r="V68" s="10" t="s">
        <v>33</v>
      </c>
      <c r="W68" s="23"/>
      <c r="X68" s="62" t="s">
        <v>218</v>
      </c>
      <c r="Y68" s="4" t="s">
        <v>32</v>
      </c>
      <c r="Z68" s="10" t="str">
        <f>_xlfn.DISPIMG("ID_44CFB85F5F684375A1EA1BFF7A291F68",1)</f>
        <v>=DISPIMG("ID_44CFB85F5F684375A1EA1BFF7A291F68",1)</v>
      </c>
      <c r="AA68" s="10" t="s">
        <v>34</v>
      </c>
      <c r="AB68" s="10" t="s">
        <v>219</v>
      </c>
      <c r="AC68" s="10"/>
    </row>
    <row r="69" s="2" customFormat="1" ht="103.05" spans="1:29">
      <c r="A69" s="10" t="s">
        <v>29</v>
      </c>
      <c r="B69" s="28" t="s">
        <v>53</v>
      </c>
      <c r="C69" s="29" t="s">
        <v>198</v>
      </c>
      <c r="D69" s="29" t="s">
        <v>214</v>
      </c>
      <c r="E69" s="29"/>
      <c r="F69" s="29"/>
      <c r="G69" s="35"/>
      <c r="H69" s="23" t="s">
        <v>220</v>
      </c>
      <c r="I69" s="10"/>
      <c r="J69" s="10"/>
      <c r="K69" s="10"/>
      <c r="L69" s="10"/>
      <c r="M69" s="10"/>
      <c r="N69" s="10"/>
      <c r="O69" s="10"/>
      <c r="P69" s="10"/>
      <c r="Q69" s="10"/>
      <c r="R69" s="10"/>
      <c r="S69" s="62" t="s">
        <v>221</v>
      </c>
      <c r="T69" s="4" t="s">
        <v>32</v>
      </c>
      <c r="U69" s="62" t="s">
        <v>221</v>
      </c>
      <c r="V69" s="10" t="s">
        <v>33</v>
      </c>
      <c r="W69" s="23"/>
      <c r="X69" s="62" t="s">
        <v>221</v>
      </c>
      <c r="Y69" s="4" t="s">
        <v>32</v>
      </c>
      <c r="Z69" s="10" t="str">
        <f>_xlfn.DISPIMG("ID_FFEC4C141B2B44EB9CE5D7BCA887A02C",1)</f>
        <v>=DISPIMG("ID_FFEC4C141B2B44EB9CE5D7BCA887A02C",1)</v>
      </c>
      <c r="AA69" s="10" t="s">
        <v>34</v>
      </c>
      <c r="AB69" s="10" t="s">
        <v>222</v>
      </c>
      <c r="AC69" s="10"/>
    </row>
    <row r="70" s="2" customFormat="1" ht="102.95" spans="1:29">
      <c r="A70" s="10" t="s">
        <v>29</v>
      </c>
      <c r="B70" s="28" t="s">
        <v>53</v>
      </c>
      <c r="C70" s="29" t="s">
        <v>198</v>
      </c>
      <c r="D70" s="29" t="s">
        <v>214</v>
      </c>
      <c r="E70" s="29"/>
      <c r="F70" s="29"/>
      <c r="G70" s="35"/>
      <c r="H70" s="23" t="s">
        <v>223</v>
      </c>
      <c r="I70" s="10"/>
      <c r="J70" s="10"/>
      <c r="K70" s="10"/>
      <c r="L70" s="10"/>
      <c r="M70" s="10"/>
      <c r="N70" s="10"/>
      <c r="O70" s="10"/>
      <c r="P70" s="10"/>
      <c r="Q70" s="10"/>
      <c r="R70" s="10"/>
      <c r="S70" s="62" t="s">
        <v>224</v>
      </c>
      <c r="T70" s="4" t="s">
        <v>32</v>
      </c>
      <c r="U70" s="62" t="s">
        <v>224</v>
      </c>
      <c r="V70" s="10" t="s">
        <v>33</v>
      </c>
      <c r="W70" s="23"/>
      <c r="X70" s="62" t="s">
        <v>224</v>
      </c>
      <c r="Y70" s="4" t="s">
        <v>32</v>
      </c>
      <c r="Z70" s="10" t="str">
        <f>_xlfn.DISPIMG("ID_47C949AF2B5146C68C54BE786CA74B45",1)</f>
        <v>=DISPIMG("ID_47C949AF2B5146C68C54BE786CA74B45",1)</v>
      </c>
      <c r="AA70" s="10" t="s">
        <v>34</v>
      </c>
      <c r="AB70" s="10" t="s">
        <v>225</v>
      </c>
      <c r="AC70" s="10"/>
    </row>
    <row r="71" s="2" customFormat="1" ht="101.45" spans="1:29">
      <c r="A71" s="10" t="s">
        <v>29</v>
      </c>
      <c r="B71" s="28" t="s">
        <v>53</v>
      </c>
      <c r="C71" s="29" t="s">
        <v>198</v>
      </c>
      <c r="D71" s="29" t="s">
        <v>226</v>
      </c>
      <c r="E71" s="29"/>
      <c r="F71" s="29"/>
      <c r="G71" s="35"/>
      <c r="H71" s="23" t="s">
        <v>227</v>
      </c>
      <c r="I71" s="10"/>
      <c r="J71" s="10"/>
      <c r="K71" s="10"/>
      <c r="L71" s="10"/>
      <c r="M71" s="10"/>
      <c r="N71" s="10"/>
      <c r="O71" s="10"/>
      <c r="P71" s="10"/>
      <c r="Q71" s="10"/>
      <c r="R71" s="10"/>
      <c r="S71" s="62" t="s">
        <v>227</v>
      </c>
      <c r="T71" s="4" t="s">
        <v>32</v>
      </c>
      <c r="U71" s="62" t="s">
        <v>227</v>
      </c>
      <c r="V71" s="10" t="s">
        <v>33</v>
      </c>
      <c r="W71" s="23"/>
      <c r="X71" s="62" t="s">
        <v>227</v>
      </c>
      <c r="Y71" s="4" t="s">
        <v>32</v>
      </c>
      <c r="Z71" s="10" t="str">
        <f>_xlfn.DISPIMG("ID_B339C2CA3B02419B936FAA85FA27986F",1)</f>
        <v>=DISPIMG("ID_B339C2CA3B02419B936FAA85FA27986F",1)</v>
      </c>
      <c r="AA71" s="10" t="s">
        <v>34</v>
      </c>
      <c r="AB71" s="10" t="s">
        <v>228</v>
      </c>
      <c r="AC71" s="10"/>
    </row>
    <row r="72" s="2" customFormat="1" ht="103.05" spans="1:29">
      <c r="A72" s="10" t="s">
        <v>29</v>
      </c>
      <c r="B72" s="28" t="s">
        <v>53</v>
      </c>
      <c r="C72" s="29" t="s">
        <v>198</v>
      </c>
      <c r="D72" s="29" t="s">
        <v>226</v>
      </c>
      <c r="E72" s="29"/>
      <c r="F72" s="29"/>
      <c r="G72" s="35"/>
      <c r="H72" s="23" t="s">
        <v>217</v>
      </c>
      <c r="I72" s="10"/>
      <c r="J72" s="10"/>
      <c r="K72" s="10"/>
      <c r="L72" s="10"/>
      <c r="M72" s="10"/>
      <c r="N72" s="10"/>
      <c r="O72" s="10"/>
      <c r="P72" s="10"/>
      <c r="Q72" s="10"/>
      <c r="R72" s="10"/>
      <c r="S72" s="62" t="s">
        <v>229</v>
      </c>
      <c r="T72" s="4" t="s">
        <v>32</v>
      </c>
      <c r="U72" s="62" t="s">
        <v>229</v>
      </c>
      <c r="V72" s="10" t="s">
        <v>33</v>
      </c>
      <c r="W72" s="23"/>
      <c r="X72" s="62" t="s">
        <v>229</v>
      </c>
      <c r="Y72" s="4" t="s">
        <v>32</v>
      </c>
      <c r="Z72" s="10" t="str">
        <f>_xlfn.DISPIMG("ID_103C171B8C16428D9346246809FC31AB",1)</f>
        <v>=DISPIMG("ID_103C171B8C16428D9346246809FC31AB",1)</v>
      </c>
      <c r="AA72" s="10" t="s">
        <v>34</v>
      </c>
      <c r="AB72" s="10" t="s">
        <v>230</v>
      </c>
      <c r="AC72" s="10"/>
    </row>
    <row r="73" s="2" customFormat="1" ht="102.25" spans="1:29">
      <c r="A73" s="10" t="s">
        <v>29</v>
      </c>
      <c r="B73" s="28" t="s">
        <v>53</v>
      </c>
      <c r="C73" s="29" t="s">
        <v>198</v>
      </c>
      <c r="D73" s="29" t="s">
        <v>226</v>
      </c>
      <c r="E73" s="29"/>
      <c r="F73" s="29"/>
      <c r="G73" s="35"/>
      <c r="H73" s="23" t="s">
        <v>220</v>
      </c>
      <c r="I73" s="10"/>
      <c r="J73" s="10"/>
      <c r="K73" s="10"/>
      <c r="L73" s="10"/>
      <c r="M73" s="10"/>
      <c r="N73" s="10"/>
      <c r="O73" s="10"/>
      <c r="P73" s="10"/>
      <c r="Q73" s="10"/>
      <c r="R73" s="10"/>
      <c r="S73" s="62" t="s">
        <v>231</v>
      </c>
      <c r="T73" s="4" t="s">
        <v>32</v>
      </c>
      <c r="U73" s="62" t="s">
        <v>231</v>
      </c>
      <c r="V73" s="10" t="s">
        <v>33</v>
      </c>
      <c r="W73" s="23"/>
      <c r="X73" s="62" t="s">
        <v>231</v>
      </c>
      <c r="Y73" s="4" t="s">
        <v>32</v>
      </c>
      <c r="Z73" s="10" t="str">
        <f>_xlfn.DISPIMG("ID_2051BDE037994B00BEA6882C9028938E",1)</f>
        <v>=DISPIMG("ID_2051BDE037994B00BEA6882C9028938E",1)</v>
      </c>
      <c r="AA73" s="10" t="s">
        <v>34</v>
      </c>
      <c r="AB73" s="10" t="s">
        <v>232</v>
      </c>
      <c r="AC73" s="10"/>
    </row>
    <row r="74" s="2" customFormat="1" ht="102.75" spans="1:29">
      <c r="A74" s="10" t="s">
        <v>29</v>
      </c>
      <c r="B74" s="28" t="s">
        <v>53</v>
      </c>
      <c r="C74" s="29" t="s">
        <v>198</v>
      </c>
      <c r="D74" s="29" t="s">
        <v>226</v>
      </c>
      <c r="E74" s="29"/>
      <c r="F74" s="29"/>
      <c r="G74" s="35"/>
      <c r="H74" s="23" t="s">
        <v>223</v>
      </c>
      <c r="I74" s="10"/>
      <c r="J74" s="10"/>
      <c r="K74" s="10"/>
      <c r="L74" s="10"/>
      <c r="M74" s="10"/>
      <c r="N74" s="10"/>
      <c r="O74" s="10"/>
      <c r="P74" s="10"/>
      <c r="Q74" s="10"/>
      <c r="R74" s="10"/>
      <c r="S74" s="62" t="s">
        <v>233</v>
      </c>
      <c r="T74" s="4" t="s">
        <v>32</v>
      </c>
      <c r="U74" s="62" t="s">
        <v>233</v>
      </c>
      <c r="V74" s="10" t="s">
        <v>33</v>
      </c>
      <c r="W74" s="23"/>
      <c r="X74" s="62" t="s">
        <v>233</v>
      </c>
      <c r="Y74" s="4" t="s">
        <v>32</v>
      </c>
      <c r="Z74" s="10" t="str">
        <f>_xlfn.DISPIMG("ID_F7D14AB8A702415B8E86E0FF8F2ACFFD",1)</f>
        <v>=DISPIMG("ID_F7D14AB8A702415B8E86E0FF8F2ACFFD",1)</v>
      </c>
      <c r="AA74" s="10" t="s">
        <v>34</v>
      </c>
      <c r="AB74" s="10" t="s">
        <v>234</v>
      </c>
      <c r="AC74" s="10"/>
    </row>
    <row r="75" s="2" customFormat="1" ht="102.8" spans="1:29">
      <c r="A75" s="10" t="s">
        <v>29</v>
      </c>
      <c r="B75" s="28" t="s">
        <v>53</v>
      </c>
      <c r="C75" s="29" t="s">
        <v>198</v>
      </c>
      <c r="D75" s="29" t="s">
        <v>235</v>
      </c>
      <c r="E75" s="28"/>
      <c r="F75" s="28"/>
      <c r="G75" s="12"/>
      <c r="H75" s="10" t="s">
        <v>236</v>
      </c>
      <c r="I75" s="10"/>
      <c r="J75" s="10"/>
      <c r="K75" s="10"/>
      <c r="L75" s="10"/>
      <c r="M75" s="10"/>
      <c r="N75" s="10"/>
      <c r="O75" s="10"/>
      <c r="P75" s="10"/>
      <c r="Q75" s="10"/>
      <c r="R75" s="10"/>
      <c r="S75" s="63" t="s">
        <v>236</v>
      </c>
      <c r="T75" s="4" t="s">
        <v>32</v>
      </c>
      <c r="U75" s="63" t="s">
        <v>236</v>
      </c>
      <c r="V75" s="10" t="s">
        <v>33</v>
      </c>
      <c r="W75" s="23"/>
      <c r="X75" s="63" t="s">
        <v>236</v>
      </c>
      <c r="Y75" s="4" t="s">
        <v>32</v>
      </c>
      <c r="Z75" s="10" t="str">
        <f>_xlfn.DISPIMG("ID_4E74EBA968BC42269FC4E2CB9F4D3AC2",1)</f>
        <v>=DISPIMG("ID_4E74EBA968BC42269FC4E2CB9F4D3AC2",1)</v>
      </c>
      <c r="AA75" s="10" t="s">
        <v>34</v>
      </c>
      <c r="AB75" s="10" t="s">
        <v>237</v>
      </c>
      <c r="AC75" s="10"/>
    </row>
    <row r="76" s="2" customFormat="1" ht="102.95" spans="1:29">
      <c r="A76" s="10" t="s">
        <v>29</v>
      </c>
      <c r="B76" s="28" t="s">
        <v>53</v>
      </c>
      <c r="C76" s="29" t="s">
        <v>198</v>
      </c>
      <c r="D76" s="29" t="s">
        <v>235</v>
      </c>
      <c r="E76" s="29"/>
      <c r="F76" s="29"/>
      <c r="G76" s="35"/>
      <c r="H76" s="29" t="s">
        <v>238</v>
      </c>
      <c r="I76" s="10"/>
      <c r="J76" s="10"/>
      <c r="K76" s="10"/>
      <c r="L76" s="10"/>
      <c r="M76" s="10"/>
      <c r="N76" s="10"/>
      <c r="O76" s="10"/>
      <c r="P76" s="10"/>
      <c r="Q76" s="10"/>
      <c r="R76" s="10"/>
      <c r="S76" s="63" t="s">
        <v>239</v>
      </c>
      <c r="T76" s="4" t="s">
        <v>32</v>
      </c>
      <c r="U76" s="63" t="s">
        <v>239</v>
      </c>
      <c r="V76" s="10" t="s">
        <v>33</v>
      </c>
      <c r="W76" s="23"/>
      <c r="X76" s="63" t="s">
        <v>239</v>
      </c>
      <c r="Y76" s="4" t="s">
        <v>32</v>
      </c>
      <c r="Z76" s="10" t="str">
        <f>_xlfn.DISPIMG("ID_13320A7DE0814DEB87C18A4ED5468F6C",1)</f>
        <v>=DISPIMG("ID_13320A7DE0814DEB87C18A4ED5468F6C",1)</v>
      </c>
      <c r="AA76" s="10" t="s">
        <v>34</v>
      </c>
      <c r="AB76" s="10" t="s">
        <v>240</v>
      </c>
      <c r="AC76" s="10"/>
    </row>
    <row r="77" s="2" customFormat="1" ht="82.5" spans="1:29">
      <c r="A77" s="10" t="s">
        <v>29</v>
      </c>
      <c r="B77" s="28" t="s">
        <v>53</v>
      </c>
      <c r="C77" s="29" t="s">
        <v>198</v>
      </c>
      <c r="D77" s="29" t="s">
        <v>235</v>
      </c>
      <c r="E77" s="29"/>
      <c r="F77" s="29"/>
      <c r="G77" s="35"/>
      <c r="H77" s="29"/>
      <c r="I77" s="10"/>
      <c r="J77" s="10"/>
      <c r="K77" s="10"/>
      <c r="L77" s="10"/>
      <c r="M77" s="10"/>
      <c r="N77" s="10"/>
      <c r="O77" s="10"/>
      <c r="P77" s="10"/>
      <c r="Q77" s="10"/>
      <c r="R77" s="10"/>
      <c r="S77" s="63" t="s">
        <v>241</v>
      </c>
      <c r="T77" s="4" t="s">
        <v>68</v>
      </c>
      <c r="U77" s="63" t="s">
        <v>242</v>
      </c>
      <c r="V77" s="24" t="s">
        <v>210</v>
      </c>
      <c r="W77" s="23"/>
      <c r="X77" s="63" t="s">
        <v>241</v>
      </c>
      <c r="Y77" s="4" t="s">
        <v>68</v>
      </c>
      <c r="Z77" s="10" t="str">
        <f>_xlfn.DISPIMG("ID_DA2D844A6A394BE9912D466CF33DC72D",1)</f>
        <v>=DISPIMG("ID_DA2D844A6A394BE9912D466CF33DC72D",1)</v>
      </c>
      <c r="AA77" s="10" t="s">
        <v>34</v>
      </c>
      <c r="AB77" s="10" t="s">
        <v>243</v>
      </c>
      <c r="AC77" s="10"/>
    </row>
    <row r="78" s="2" customFormat="1" ht="101.55" spans="1:29">
      <c r="A78" s="10" t="s">
        <v>29</v>
      </c>
      <c r="B78" s="28" t="s">
        <v>53</v>
      </c>
      <c r="C78" s="29" t="s">
        <v>198</v>
      </c>
      <c r="D78" s="29" t="s">
        <v>235</v>
      </c>
      <c r="E78" s="29"/>
      <c r="F78" s="28"/>
      <c r="G78" s="35"/>
      <c r="H78" s="29" t="s">
        <v>244</v>
      </c>
      <c r="I78" s="10"/>
      <c r="J78" s="10"/>
      <c r="K78" s="10"/>
      <c r="L78" s="10"/>
      <c r="M78" s="10"/>
      <c r="N78" s="10"/>
      <c r="O78" s="10"/>
      <c r="P78" s="10"/>
      <c r="Q78" s="10"/>
      <c r="R78" s="10"/>
      <c r="S78" s="63" t="s">
        <v>245</v>
      </c>
      <c r="T78" s="4" t="s">
        <v>32</v>
      </c>
      <c r="U78" s="63" t="s">
        <v>245</v>
      </c>
      <c r="V78" s="10" t="s">
        <v>33</v>
      </c>
      <c r="W78" s="23"/>
      <c r="X78" s="63" t="s">
        <v>245</v>
      </c>
      <c r="Y78" s="4" t="s">
        <v>32</v>
      </c>
      <c r="Z78" s="10" t="str">
        <f>_xlfn.DISPIMG("ID_6B394114864A41BDACD48FA3119B5D89",1)</f>
        <v>=DISPIMG("ID_6B394114864A41BDACD48FA3119B5D89",1)</v>
      </c>
      <c r="AA78" s="10" t="s">
        <v>34</v>
      </c>
      <c r="AB78" s="10" t="s">
        <v>246</v>
      </c>
      <c r="AC78" s="10"/>
    </row>
    <row r="79" s="2" customFormat="1" ht="208.85" spans="1:29">
      <c r="A79" s="10" t="s">
        <v>29</v>
      </c>
      <c r="B79" s="28" t="s">
        <v>53</v>
      </c>
      <c r="C79" s="29" t="s">
        <v>198</v>
      </c>
      <c r="D79" s="29" t="s">
        <v>235</v>
      </c>
      <c r="E79" s="29"/>
      <c r="F79" s="28"/>
      <c r="G79" s="35"/>
      <c r="H79" s="29"/>
      <c r="I79" s="10"/>
      <c r="J79" s="10"/>
      <c r="K79" s="10"/>
      <c r="L79" s="10"/>
      <c r="M79" s="10"/>
      <c r="N79" s="10"/>
      <c r="O79" s="10"/>
      <c r="P79" s="10"/>
      <c r="Q79" s="10"/>
      <c r="R79" s="10"/>
      <c r="S79" s="63" t="s">
        <v>247</v>
      </c>
      <c r="T79" s="4" t="s">
        <v>58</v>
      </c>
      <c r="U79" s="63" t="s">
        <v>247</v>
      </c>
      <c r="V79" s="24" t="s">
        <v>210</v>
      </c>
      <c r="W79" s="23"/>
      <c r="X79" s="63" t="s">
        <v>247</v>
      </c>
      <c r="Y79" s="4" t="s">
        <v>58</v>
      </c>
      <c r="Z79" s="10" t="str">
        <f>_xlfn.DISPIMG("ID_83006A143AA8439E85F1826ED03A460C",1)</f>
        <v>=DISPIMG("ID_83006A143AA8439E85F1826ED03A460C",1)</v>
      </c>
      <c r="AA79" s="10" t="s">
        <v>34</v>
      </c>
      <c r="AB79" s="10" t="s">
        <v>248</v>
      </c>
      <c r="AC79" s="10"/>
    </row>
    <row r="80" s="2" customFormat="1" ht="115.5" spans="1:29">
      <c r="A80" s="10" t="s">
        <v>29</v>
      </c>
      <c r="B80" s="28" t="s">
        <v>53</v>
      </c>
      <c r="C80" s="29" t="s">
        <v>198</v>
      </c>
      <c r="D80" s="29" t="s">
        <v>235</v>
      </c>
      <c r="E80" s="29"/>
      <c r="F80" s="28"/>
      <c r="G80" s="35"/>
      <c r="H80" s="29"/>
      <c r="I80" s="10"/>
      <c r="J80" s="10"/>
      <c r="K80" s="10"/>
      <c r="L80" s="10"/>
      <c r="M80" s="10"/>
      <c r="N80" s="10"/>
      <c r="O80" s="10"/>
      <c r="P80" s="10"/>
      <c r="Q80" s="10"/>
      <c r="R80" s="10"/>
      <c r="S80" s="63" t="s">
        <v>249</v>
      </c>
      <c r="T80" s="4" t="s">
        <v>68</v>
      </c>
      <c r="U80" s="63" t="s">
        <v>250</v>
      </c>
      <c r="V80" s="24" t="s">
        <v>210</v>
      </c>
      <c r="W80" s="23"/>
      <c r="X80" s="63" t="s">
        <v>249</v>
      </c>
      <c r="Y80" s="4" t="s">
        <v>68</v>
      </c>
      <c r="Z80" s="10" t="str">
        <f>_xlfn.DISPIMG("ID_67CB0C891B7248D89832EE71A4F01F6C",1)</f>
        <v>=DISPIMG("ID_67CB0C891B7248D89832EE71A4F01F6C",1)</v>
      </c>
      <c r="AA80" s="10" t="s">
        <v>34</v>
      </c>
      <c r="AB80" s="10" t="s">
        <v>251</v>
      </c>
      <c r="AC80" s="10"/>
    </row>
    <row r="81" s="2" customFormat="1" ht="60" spans="1:29">
      <c r="A81" s="10" t="s">
        <v>29</v>
      </c>
      <c r="B81" s="28" t="s">
        <v>53</v>
      </c>
      <c r="C81" s="29" t="s">
        <v>198</v>
      </c>
      <c r="D81" s="29" t="s">
        <v>235</v>
      </c>
      <c r="E81" s="29"/>
      <c r="F81" s="28"/>
      <c r="G81" s="35"/>
      <c r="H81" s="29"/>
      <c r="I81" s="10"/>
      <c r="J81" s="10"/>
      <c r="K81" s="10"/>
      <c r="L81" s="10"/>
      <c r="M81" s="10"/>
      <c r="N81" s="10"/>
      <c r="O81" s="10"/>
      <c r="P81" s="10"/>
      <c r="Q81" s="10"/>
      <c r="R81" s="10"/>
      <c r="S81" s="63" t="s">
        <v>252</v>
      </c>
      <c r="T81" s="4" t="s">
        <v>32</v>
      </c>
      <c r="U81" s="63" t="s">
        <v>252</v>
      </c>
      <c r="V81" s="10" t="s">
        <v>33</v>
      </c>
      <c r="W81" s="23"/>
      <c r="X81" s="63" t="s">
        <v>252</v>
      </c>
      <c r="Y81" s="4" t="s">
        <v>32</v>
      </c>
      <c r="Z81" s="10" t="str">
        <f>_xlfn.DISPIMG("ID_5D9D7CBFEAEC4E188DFA33AA23B06386",1)</f>
        <v>=DISPIMG("ID_5D9D7CBFEAEC4E188DFA33AA23B06386",1)</v>
      </c>
      <c r="AA81" s="10" t="s">
        <v>34</v>
      </c>
      <c r="AB81" s="10" t="s">
        <v>253</v>
      </c>
      <c r="AC81" s="10"/>
    </row>
    <row r="82" s="2" customFormat="1" ht="66" spans="1:29">
      <c r="A82" s="10" t="s">
        <v>29</v>
      </c>
      <c r="B82" s="28" t="s">
        <v>53</v>
      </c>
      <c r="C82" s="29" t="s">
        <v>198</v>
      </c>
      <c r="D82" s="29" t="s">
        <v>235</v>
      </c>
      <c r="E82" s="28"/>
      <c r="F82" s="28"/>
      <c r="G82" s="35"/>
      <c r="H82" s="28" t="s">
        <v>254</v>
      </c>
      <c r="I82" s="10"/>
      <c r="J82" s="10"/>
      <c r="K82" s="10"/>
      <c r="L82" s="10"/>
      <c r="M82" s="10"/>
      <c r="N82" s="10"/>
      <c r="O82" s="10"/>
      <c r="P82" s="10"/>
      <c r="Q82" s="10"/>
      <c r="R82" s="10"/>
      <c r="S82" s="63" t="s">
        <v>255</v>
      </c>
      <c r="T82" s="4" t="s">
        <v>68</v>
      </c>
      <c r="U82" s="63" t="s">
        <v>256</v>
      </c>
      <c r="V82" s="24" t="s">
        <v>210</v>
      </c>
      <c r="W82" s="23"/>
      <c r="X82" s="63" t="s">
        <v>255</v>
      </c>
      <c r="Y82" s="4" t="s">
        <v>68</v>
      </c>
      <c r="Z82" s="10" t="str">
        <f>_xlfn.DISPIMG("ID_8F3D80D65DFA4588BF6E1FEA0D9DE8D7",1)</f>
        <v>=DISPIMG("ID_8F3D80D65DFA4588BF6E1FEA0D9DE8D7",1)</v>
      </c>
      <c r="AA82" s="10" t="s">
        <v>34</v>
      </c>
      <c r="AB82" s="10" t="s">
        <v>257</v>
      </c>
      <c r="AC82" s="10"/>
    </row>
    <row r="83" s="2" customFormat="1" ht="66" spans="1:29">
      <c r="A83" s="10" t="s">
        <v>29</v>
      </c>
      <c r="B83" s="28" t="s">
        <v>53</v>
      </c>
      <c r="C83" s="29" t="s">
        <v>198</v>
      </c>
      <c r="D83" s="29" t="s">
        <v>235</v>
      </c>
      <c r="E83" s="28"/>
      <c r="F83" s="28"/>
      <c r="G83" s="35"/>
      <c r="H83" s="28"/>
      <c r="I83" s="10"/>
      <c r="J83" s="10"/>
      <c r="K83" s="10"/>
      <c r="L83" s="10"/>
      <c r="M83" s="10"/>
      <c r="N83" s="10"/>
      <c r="O83" s="10"/>
      <c r="P83" s="10"/>
      <c r="Q83" s="10"/>
      <c r="R83" s="10"/>
      <c r="S83" s="63" t="s">
        <v>258</v>
      </c>
      <c r="T83" s="4" t="s">
        <v>32</v>
      </c>
      <c r="U83" s="63" t="s">
        <v>258</v>
      </c>
      <c r="V83" s="10" t="s">
        <v>33</v>
      </c>
      <c r="W83" s="23"/>
      <c r="X83" s="63" t="s">
        <v>258</v>
      </c>
      <c r="Y83" s="4" t="s">
        <v>32</v>
      </c>
      <c r="Z83" s="10" t="str">
        <f>_xlfn.DISPIMG("ID_5222704B41E54CF4B01D31C5A48359F7",1)</f>
        <v>=DISPIMG("ID_5222704B41E54CF4B01D31C5A48359F7",1)</v>
      </c>
      <c r="AA83" s="10" t="s">
        <v>34</v>
      </c>
      <c r="AB83" s="10" t="s">
        <v>259</v>
      </c>
      <c r="AC83" s="10"/>
    </row>
    <row r="84" s="2" customFormat="1" ht="49.5" spans="1:29">
      <c r="A84" s="10" t="s">
        <v>29</v>
      </c>
      <c r="B84" s="28" t="s">
        <v>53</v>
      </c>
      <c r="C84" s="29" t="s">
        <v>198</v>
      </c>
      <c r="D84" s="29" t="s">
        <v>235</v>
      </c>
      <c r="E84" s="28"/>
      <c r="F84" s="29"/>
      <c r="G84" s="35"/>
      <c r="H84" s="10" t="s">
        <v>260</v>
      </c>
      <c r="I84" s="10"/>
      <c r="J84" s="10"/>
      <c r="K84" s="10"/>
      <c r="L84" s="10"/>
      <c r="M84" s="10"/>
      <c r="N84" s="10"/>
      <c r="O84" s="10"/>
      <c r="P84" s="10"/>
      <c r="Q84" s="10"/>
      <c r="R84" s="10"/>
      <c r="S84" s="62" t="s">
        <v>260</v>
      </c>
      <c r="T84" s="4" t="s">
        <v>32</v>
      </c>
      <c r="U84" s="62" t="s">
        <v>260</v>
      </c>
      <c r="V84" s="10" t="s">
        <v>33</v>
      </c>
      <c r="W84" s="23"/>
      <c r="X84" s="62" t="s">
        <v>260</v>
      </c>
      <c r="Y84" s="4" t="s">
        <v>32</v>
      </c>
      <c r="Z84" s="10" t="str">
        <f>_xlfn.DISPIMG("ID_70675633EA28424DBFA7AD363DECEEFD",1)</f>
        <v>=DISPIMG("ID_70675633EA28424DBFA7AD363DECEEFD",1)</v>
      </c>
      <c r="AA84" s="10" t="s">
        <v>34</v>
      </c>
      <c r="AB84" s="10" t="s">
        <v>261</v>
      </c>
      <c r="AC84" s="10"/>
    </row>
    <row r="85" s="2" customFormat="1" ht="69.6" spans="1:29">
      <c r="A85" s="10" t="s">
        <v>29</v>
      </c>
      <c r="B85" s="28" t="s">
        <v>53</v>
      </c>
      <c r="C85" s="29" t="s">
        <v>262</v>
      </c>
      <c r="D85" s="28" t="s">
        <v>263</v>
      </c>
      <c r="E85" s="29"/>
      <c r="F85" s="23"/>
      <c r="G85" s="35"/>
      <c r="H85" s="29" t="s">
        <v>264</v>
      </c>
      <c r="I85" s="10"/>
      <c r="J85" s="10"/>
      <c r="K85" s="10"/>
      <c r="L85" s="10"/>
      <c r="M85" s="10"/>
      <c r="N85" s="10"/>
      <c r="O85" s="10"/>
      <c r="P85" s="10"/>
      <c r="Q85" s="10"/>
      <c r="R85" s="10"/>
      <c r="S85" s="63" t="s">
        <v>265</v>
      </c>
      <c r="T85" s="4" t="s">
        <v>32</v>
      </c>
      <c r="U85" s="63" t="s">
        <v>265</v>
      </c>
      <c r="V85" s="10" t="s">
        <v>33</v>
      </c>
      <c r="W85" s="23"/>
      <c r="X85" s="63" t="s">
        <v>265</v>
      </c>
      <c r="Y85" s="4" t="s">
        <v>32</v>
      </c>
      <c r="Z85" s="10" t="str">
        <f>_xlfn.DISPIMG("ID_CB2752DA6E0B4564B25631B0D1834BA9",1)</f>
        <v>=DISPIMG("ID_CB2752DA6E0B4564B25631B0D1834BA9",1)</v>
      </c>
      <c r="AA85" s="10" t="s">
        <v>34</v>
      </c>
      <c r="AB85" s="10" t="s">
        <v>266</v>
      </c>
      <c r="AC85" s="10"/>
    </row>
    <row r="86" s="2" customFormat="1" ht="82.5" spans="1:29">
      <c r="A86" s="10" t="s">
        <v>29</v>
      </c>
      <c r="B86" s="28" t="s">
        <v>53</v>
      </c>
      <c r="C86" s="29" t="s">
        <v>262</v>
      </c>
      <c r="D86" s="28" t="s">
        <v>263</v>
      </c>
      <c r="E86" s="29"/>
      <c r="F86" s="23"/>
      <c r="G86" s="35"/>
      <c r="H86" s="29"/>
      <c r="I86" s="10"/>
      <c r="J86" s="10"/>
      <c r="K86" s="10"/>
      <c r="L86" s="10"/>
      <c r="M86" s="10"/>
      <c r="N86" s="10"/>
      <c r="O86" s="10"/>
      <c r="P86" s="10"/>
      <c r="Q86" s="10"/>
      <c r="R86" s="10"/>
      <c r="S86" s="63" t="s">
        <v>267</v>
      </c>
      <c r="T86" s="4" t="s">
        <v>68</v>
      </c>
      <c r="U86" s="63" t="s">
        <v>268</v>
      </c>
      <c r="V86" s="24" t="s">
        <v>269</v>
      </c>
      <c r="W86" s="23"/>
      <c r="X86" s="63" t="s">
        <v>267</v>
      </c>
      <c r="Y86" s="4" t="s">
        <v>68</v>
      </c>
      <c r="Z86" s="10" t="str">
        <f>_xlfn.DISPIMG("ID_441E44183F074F30BE98A4D20CE9454C",1)</f>
        <v>=DISPIMG("ID_441E44183F074F30BE98A4D20CE9454C",1)</v>
      </c>
      <c r="AA86" s="10" t="s">
        <v>34</v>
      </c>
      <c r="AB86" s="10" t="s">
        <v>270</v>
      </c>
      <c r="AC86" s="10"/>
    </row>
    <row r="87" s="2" customFormat="1" ht="102.9" spans="1:29">
      <c r="A87" s="10" t="s">
        <v>29</v>
      </c>
      <c r="B87" s="28" t="s">
        <v>53</v>
      </c>
      <c r="C87" s="29" t="s">
        <v>262</v>
      </c>
      <c r="D87" s="28" t="s">
        <v>263</v>
      </c>
      <c r="E87" s="29"/>
      <c r="F87" s="23"/>
      <c r="G87" s="35"/>
      <c r="H87" s="29" t="s">
        <v>271</v>
      </c>
      <c r="I87" s="10"/>
      <c r="J87" s="10"/>
      <c r="K87" s="10"/>
      <c r="L87" s="10"/>
      <c r="M87" s="10"/>
      <c r="N87" s="10"/>
      <c r="O87" s="10"/>
      <c r="P87" s="10"/>
      <c r="Q87" s="10"/>
      <c r="R87" s="10"/>
      <c r="S87" s="62" t="s">
        <v>272</v>
      </c>
      <c r="T87" s="4" t="s">
        <v>32</v>
      </c>
      <c r="U87" s="62" t="s">
        <v>272</v>
      </c>
      <c r="V87" s="10" t="s">
        <v>33</v>
      </c>
      <c r="W87" s="23"/>
      <c r="X87" s="62" t="s">
        <v>272</v>
      </c>
      <c r="Y87" s="4" t="s">
        <v>32</v>
      </c>
      <c r="Z87" s="10" t="str">
        <f>_xlfn.DISPIMG("ID_BE5C6FB598B148F4BA0F40DBE3F69895",1)</f>
        <v>=DISPIMG("ID_BE5C6FB598B148F4BA0F40DBE3F69895",1)</v>
      </c>
      <c r="AA87" s="10" t="s">
        <v>34</v>
      </c>
      <c r="AB87" s="10" t="s">
        <v>273</v>
      </c>
      <c r="AC87" s="10"/>
    </row>
    <row r="88" s="2" customFormat="1" ht="101" spans="1:29">
      <c r="A88" s="10" t="s">
        <v>29</v>
      </c>
      <c r="B88" s="28" t="s">
        <v>53</v>
      </c>
      <c r="C88" s="29" t="s">
        <v>262</v>
      </c>
      <c r="D88" s="28" t="s">
        <v>263</v>
      </c>
      <c r="E88" s="29"/>
      <c r="F88" s="23"/>
      <c r="G88" s="35"/>
      <c r="H88" s="29"/>
      <c r="I88" s="10"/>
      <c r="J88" s="10"/>
      <c r="K88" s="10"/>
      <c r="L88" s="10"/>
      <c r="M88" s="10"/>
      <c r="N88" s="10"/>
      <c r="O88" s="10"/>
      <c r="P88" s="10"/>
      <c r="Q88" s="10"/>
      <c r="R88" s="10"/>
      <c r="S88" s="62" t="s">
        <v>274</v>
      </c>
      <c r="T88" s="4" t="s">
        <v>32</v>
      </c>
      <c r="U88" s="62" t="s">
        <v>274</v>
      </c>
      <c r="V88" s="10" t="s">
        <v>33</v>
      </c>
      <c r="W88" s="23"/>
      <c r="X88" s="62" t="s">
        <v>274</v>
      </c>
      <c r="Y88" s="4" t="s">
        <v>32</v>
      </c>
      <c r="Z88" s="10" t="str">
        <f>_xlfn.DISPIMG("ID_5654C55B7F404934A0E62C254B6797D5",1)</f>
        <v>=DISPIMG("ID_5654C55B7F404934A0E62C254B6797D5",1)</v>
      </c>
      <c r="AA88" s="10" t="s">
        <v>34</v>
      </c>
      <c r="AB88" s="10" t="s">
        <v>275</v>
      </c>
      <c r="AC88" s="10"/>
    </row>
    <row r="89" s="2" customFormat="1" ht="102.5" spans="1:29">
      <c r="A89" s="10" t="s">
        <v>29</v>
      </c>
      <c r="B89" s="28" t="s">
        <v>53</v>
      </c>
      <c r="C89" s="29" t="s">
        <v>262</v>
      </c>
      <c r="D89" s="28" t="s">
        <v>263</v>
      </c>
      <c r="E89" s="29"/>
      <c r="F89" s="29"/>
      <c r="G89" s="35"/>
      <c r="H89" s="29"/>
      <c r="I89" s="10"/>
      <c r="J89" s="10"/>
      <c r="K89" s="10"/>
      <c r="L89" s="10"/>
      <c r="M89" s="10"/>
      <c r="N89" s="10"/>
      <c r="O89" s="10"/>
      <c r="P89" s="10"/>
      <c r="Q89" s="10"/>
      <c r="R89" s="10"/>
      <c r="S89" s="62" t="s">
        <v>276</v>
      </c>
      <c r="T89" s="4" t="s">
        <v>32</v>
      </c>
      <c r="U89" s="62" t="s">
        <v>276</v>
      </c>
      <c r="V89" s="10" t="s">
        <v>33</v>
      </c>
      <c r="W89" s="23"/>
      <c r="X89" s="62" t="s">
        <v>276</v>
      </c>
      <c r="Y89" s="4" t="s">
        <v>32</v>
      </c>
      <c r="Z89" s="10" t="str">
        <f>_xlfn.DISPIMG("ID_FF51B419ACC2454B92EA6C3F80845232",1)</f>
        <v>=DISPIMG("ID_FF51B419ACC2454B92EA6C3F80845232",1)</v>
      </c>
      <c r="AA89" s="10" t="s">
        <v>34</v>
      </c>
      <c r="AB89" s="10" t="s">
        <v>277</v>
      </c>
      <c r="AC89" s="10"/>
    </row>
    <row r="90" s="2" customFormat="1" ht="230.95" spans="1:29">
      <c r="A90" s="10" t="s">
        <v>29</v>
      </c>
      <c r="B90" s="28" t="s">
        <v>53</v>
      </c>
      <c r="C90" s="29" t="s">
        <v>262</v>
      </c>
      <c r="D90" s="28" t="s">
        <v>263</v>
      </c>
      <c r="E90" s="29"/>
      <c r="F90" s="29"/>
      <c r="G90" s="35"/>
      <c r="H90" s="29"/>
      <c r="I90" s="10"/>
      <c r="J90" s="10"/>
      <c r="K90" s="10"/>
      <c r="L90" s="10"/>
      <c r="M90" s="10"/>
      <c r="N90" s="10"/>
      <c r="O90" s="10"/>
      <c r="P90" s="10"/>
      <c r="Q90" s="10"/>
      <c r="R90" s="10"/>
      <c r="S90" s="62" t="s">
        <v>278</v>
      </c>
      <c r="T90" s="4" t="s">
        <v>58</v>
      </c>
      <c r="U90" s="62" t="s">
        <v>278</v>
      </c>
      <c r="V90" s="24" t="s">
        <v>269</v>
      </c>
      <c r="W90" s="23"/>
      <c r="X90" s="62" t="s">
        <v>278</v>
      </c>
      <c r="Y90" s="4" t="s">
        <v>58</v>
      </c>
      <c r="Z90" s="10" t="str">
        <f>_xlfn.DISPIMG("ID_2161275BF53F4E6F9EC3AFC9EEAC7CD8",1)</f>
        <v>=DISPIMG("ID_2161275BF53F4E6F9EC3AFC9EEAC7CD8",1)</v>
      </c>
      <c r="AA90" s="10" t="s">
        <v>34</v>
      </c>
      <c r="AB90" s="10" t="s">
        <v>279</v>
      </c>
      <c r="AC90" s="10"/>
    </row>
    <row r="91" s="2" customFormat="1" ht="101.45" spans="1:29">
      <c r="A91" s="10" t="s">
        <v>29</v>
      </c>
      <c r="B91" s="28" t="s">
        <v>53</v>
      </c>
      <c r="C91" s="29" t="s">
        <v>262</v>
      </c>
      <c r="D91" s="28" t="s">
        <v>263</v>
      </c>
      <c r="E91" s="29"/>
      <c r="F91" s="29"/>
      <c r="G91" s="35"/>
      <c r="H91" s="29"/>
      <c r="I91" s="10"/>
      <c r="J91" s="10"/>
      <c r="K91" s="10"/>
      <c r="L91" s="10"/>
      <c r="M91" s="10"/>
      <c r="N91" s="10"/>
      <c r="O91" s="10"/>
      <c r="P91" s="10"/>
      <c r="Q91" s="10"/>
      <c r="R91" s="10"/>
      <c r="S91" s="62" t="s">
        <v>280</v>
      </c>
      <c r="T91" s="4" t="s">
        <v>32</v>
      </c>
      <c r="U91" s="62" t="s">
        <v>280</v>
      </c>
      <c r="V91" s="10" t="s">
        <v>33</v>
      </c>
      <c r="W91" s="23"/>
      <c r="X91" s="62" t="s">
        <v>280</v>
      </c>
      <c r="Y91" s="4" t="s">
        <v>32</v>
      </c>
      <c r="Z91" s="10" t="str">
        <f>_xlfn.DISPIMG("ID_87D16593511745598A3B5190FC8B3730",1)</f>
        <v>=DISPIMG("ID_87D16593511745598A3B5190FC8B3730",1)</v>
      </c>
      <c r="AA91" s="10" t="s">
        <v>34</v>
      </c>
      <c r="AB91" s="10" t="s">
        <v>281</v>
      </c>
      <c r="AC91" s="10"/>
    </row>
    <row r="92" s="2" customFormat="1" ht="228.2" spans="1:29">
      <c r="A92" s="10" t="s">
        <v>29</v>
      </c>
      <c r="B92" s="28" t="s">
        <v>53</v>
      </c>
      <c r="C92" s="29" t="s">
        <v>262</v>
      </c>
      <c r="D92" s="28" t="s">
        <v>263</v>
      </c>
      <c r="E92" s="29"/>
      <c r="F92" s="29"/>
      <c r="G92" s="35"/>
      <c r="H92" s="29"/>
      <c r="I92" s="10"/>
      <c r="J92" s="10"/>
      <c r="K92" s="10"/>
      <c r="L92" s="10"/>
      <c r="M92" s="10"/>
      <c r="N92" s="10"/>
      <c r="O92" s="10"/>
      <c r="P92" s="10"/>
      <c r="Q92" s="10"/>
      <c r="R92" s="10"/>
      <c r="S92" s="62" t="s">
        <v>282</v>
      </c>
      <c r="T92" s="4" t="s">
        <v>58</v>
      </c>
      <c r="U92" s="62" t="s">
        <v>282</v>
      </c>
      <c r="V92" s="24" t="s">
        <v>269</v>
      </c>
      <c r="W92" s="23"/>
      <c r="X92" s="62" t="s">
        <v>282</v>
      </c>
      <c r="Y92" s="4" t="s">
        <v>58</v>
      </c>
      <c r="Z92" s="10" t="str">
        <f>_xlfn.DISPIMG("ID_D60FA252695D434998E7621D42CF7C90",1)</f>
        <v>=DISPIMG("ID_D60FA252695D434998E7621D42CF7C90",1)</v>
      </c>
      <c r="AA92" s="10" t="s">
        <v>34</v>
      </c>
      <c r="AB92" s="10" t="s">
        <v>283</v>
      </c>
      <c r="AC92" s="10"/>
    </row>
    <row r="93" s="2" customFormat="1" ht="103.25" spans="1:29">
      <c r="A93" s="10" t="s">
        <v>29</v>
      </c>
      <c r="B93" s="28" t="s">
        <v>53</v>
      </c>
      <c r="C93" s="29" t="s">
        <v>262</v>
      </c>
      <c r="D93" s="28" t="s">
        <v>263</v>
      </c>
      <c r="E93" s="29"/>
      <c r="F93" s="29"/>
      <c r="G93" s="35"/>
      <c r="H93" s="29"/>
      <c r="I93" s="10"/>
      <c r="J93" s="10"/>
      <c r="K93" s="10"/>
      <c r="L93" s="10"/>
      <c r="M93" s="10"/>
      <c r="N93" s="10"/>
      <c r="O93" s="10"/>
      <c r="P93" s="10"/>
      <c r="Q93" s="10"/>
      <c r="R93" s="10"/>
      <c r="S93" s="63" t="s">
        <v>284</v>
      </c>
      <c r="T93" s="4" t="s">
        <v>32</v>
      </c>
      <c r="U93" s="63" t="s">
        <v>284</v>
      </c>
      <c r="V93" s="10" t="s">
        <v>33</v>
      </c>
      <c r="W93" s="23"/>
      <c r="X93" s="63" t="s">
        <v>284</v>
      </c>
      <c r="Y93" s="4" t="s">
        <v>32</v>
      </c>
      <c r="Z93" s="10" t="str">
        <f>_xlfn.DISPIMG("ID_C055F74E31E641C3A5D645BB3E5DB44E",1)</f>
        <v>=DISPIMG("ID_C055F74E31E641C3A5D645BB3E5DB44E",1)</v>
      </c>
      <c r="AA93" s="10" t="s">
        <v>34</v>
      </c>
      <c r="AB93" s="10" t="s">
        <v>285</v>
      </c>
      <c r="AC93" s="10"/>
    </row>
    <row r="94" s="2" customFormat="1" ht="230.05" spans="1:29">
      <c r="A94" s="10" t="s">
        <v>29</v>
      </c>
      <c r="B94" s="28" t="s">
        <v>53</v>
      </c>
      <c r="C94" s="29" t="s">
        <v>262</v>
      </c>
      <c r="D94" s="28" t="s">
        <v>263</v>
      </c>
      <c r="E94" s="29"/>
      <c r="F94" s="29"/>
      <c r="G94" s="35"/>
      <c r="H94" s="29"/>
      <c r="I94" s="10"/>
      <c r="J94" s="10"/>
      <c r="K94" s="10"/>
      <c r="L94" s="10"/>
      <c r="M94" s="10"/>
      <c r="N94" s="10"/>
      <c r="O94" s="10"/>
      <c r="P94" s="10"/>
      <c r="Q94" s="10"/>
      <c r="R94" s="10"/>
      <c r="S94" s="63" t="s">
        <v>286</v>
      </c>
      <c r="T94" s="4" t="s">
        <v>58</v>
      </c>
      <c r="U94" s="63" t="s">
        <v>286</v>
      </c>
      <c r="V94" s="24" t="s">
        <v>269</v>
      </c>
      <c r="W94" s="23"/>
      <c r="X94" s="63" t="s">
        <v>286</v>
      </c>
      <c r="Y94" s="4" t="s">
        <v>58</v>
      </c>
      <c r="Z94" s="10" t="str">
        <f>_xlfn.DISPIMG("ID_0926C3BB6DD64C63BF48AC156568F977",1)</f>
        <v>=DISPIMG("ID_0926C3BB6DD64C63BF48AC156568F977",1)</v>
      </c>
      <c r="AA94" s="10" t="s">
        <v>34</v>
      </c>
      <c r="AB94" s="10" t="s">
        <v>287</v>
      </c>
      <c r="AC94" s="10"/>
    </row>
    <row r="95" s="2" customFormat="1" ht="101.9" spans="1:29">
      <c r="A95" s="10" t="s">
        <v>29</v>
      </c>
      <c r="B95" s="28" t="s">
        <v>53</v>
      </c>
      <c r="C95" s="29" t="s">
        <v>262</v>
      </c>
      <c r="D95" s="28" t="s">
        <v>263</v>
      </c>
      <c r="E95" s="29"/>
      <c r="F95" s="23"/>
      <c r="G95" s="35"/>
      <c r="H95" s="29"/>
      <c r="I95" s="10"/>
      <c r="J95" s="10"/>
      <c r="K95" s="10"/>
      <c r="L95" s="10"/>
      <c r="M95" s="10"/>
      <c r="N95" s="10"/>
      <c r="O95" s="10"/>
      <c r="P95" s="10"/>
      <c r="Q95" s="10"/>
      <c r="R95" s="10"/>
      <c r="S95" s="63" t="s">
        <v>288</v>
      </c>
      <c r="T95" s="4" t="s">
        <v>32</v>
      </c>
      <c r="U95" s="63" t="s">
        <v>288</v>
      </c>
      <c r="V95" s="10" t="s">
        <v>33</v>
      </c>
      <c r="W95" s="23"/>
      <c r="X95" s="63" t="s">
        <v>288</v>
      </c>
      <c r="Y95" s="4" t="s">
        <v>32</v>
      </c>
      <c r="Z95" s="10" t="str">
        <f>_xlfn.DISPIMG("ID_FE0E03E4AB114D7CB183A5516B56FD3F",1)</f>
        <v>=DISPIMG("ID_FE0E03E4AB114D7CB183A5516B56FD3F",1)</v>
      </c>
      <c r="AA95" s="10" t="s">
        <v>34</v>
      </c>
      <c r="AB95" s="10" t="s">
        <v>289</v>
      </c>
      <c r="AC95" s="10" t="s">
        <v>290</v>
      </c>
    </row>
    <row r="96" s="2" customFormat="1" ht="101.55" spans="1:29">
      <c r="A96" s="10" t="s">
        <v>29</v>
      </c>
      <c r="B96" s="28" t="s">
        <v>53</v>
      </c>
      <c r="C96" s="29" t="s">
        <v>262</v>
      </c>
      <c r="D96" s="28" t="s">
        <v>263</v>
      </c>
      <c r="E96" s="29"/>
      <c r="F96" s="23"/>
      <c r="G96" s="35"/>
      <c r="H96" s="29" t="s">
        <v>291</v>
      </c>
      <c r="I96" s="10"/>
      <c r="J96" s="10"/>
      <c r="K96" s="10"/>
      <c r="L96" s="10"/>
      <c r="M96" s="10"/>
      <c r="N96" s="10"/>
      <c r="O96" s="10"/>
      <c r="P96" s="10"/>
      <c r="Q96" s="10"/>
      <c r="R96" s="10"/>
      <c r="S96" s="62" t="s">
        <v>292</v>
      </c>
      <c r="T96" s="4" t="s">
        <v>32</v>
      </c>
      <c r="U96" s="62" t="s">
        <v>292</v>
      </c>
      <c r="V96" s="10" t="s">
        <v>33</v>
      </c>
      <c r="W96" s="23"/>
      <c r="X96" s="62" t="s">
        <v>292</v>
      </c>
      <c r="Y96" s="4" t="s">
        <v>32</v>
      </c>
      <c r="Z96" s="10" t="str">
        <f>_xlfn.DISPIMG("ID_0A768EF8910246D7BC1E59A198780DB6",1)</f>
        <v>=DISPIMG("ID_0A768EF8910246D7BC1E59A198780DB6",1)</v>
      </c>
      <c r="AA96" s="10" t="s">
        <v>34</v>
      </c>
      <c r="AB96" s="10" t="s">
        <v>293</v>
      </c>
      <c r="AC96" s="10"/>
    </row>
    <row r="97" s="2" customFormat="1" ht="153.55" spans="1:29">
      <c r="A97" s="10" t="s">
        <v>29</v>
      </c>
      <c r="B97" s="28" t="s">
        <v>53</v>
      </c>
      <c r="C97" s="29" t="s">
        <v>262</v>
      </c>
      <c r="D97" s="28" t="s">
        <v>263</v>
      </c>
      <c r="E97" s="29"/>
      <c r="F97" s="23"/>
      <c r="G97" s="35"/>
      <c r="H97" s="29"/>
      <c r="I97" s="10"/>
      <c r="J97" s="10"/>
      <c r="K97" s="10"/>
      <c r="L97" s="10"/>
      <c r="M97" s="10"/>
      <c r="N97" s="10"/>
      <c r="O97" s="10"/>
      <c r="P97" s="10"/>
      <c r="Q97" s="10"/>
      <c r="R97" s="10"/>
      <c r="S97" s="63" t="s">
        <v>294</v>
      </c>
      <c r="T97" s="4" t="s">
        <v>58</v>
      </c>
      <c r="U97" s="63" t="s">
        <v>294</v>
      </c>
      <c r="V97" s="24" t="s">
        <v>269</v>
      </c>
      <c r="W97" s="23"/>
      <c r="X97" s="63" t="s">
        <v>294</v>
      </c>
      <c r="Y97" s="4" t="s">
        <v>58</v>
      </c>
      <c r="Z97" s="10" t="str">
        <f>_xlfn.DISPIMG("ID_3789D83E570E48869B28FFC537D4DB80",1)</f>
        <v>=DISPIMG("ID_3789D83E570E48869B28FFC537D4DB80",1)</v>
      </c>
      <c r="AA97" s="10" t="s">
        <v>34</v>
      </c>
      <c r="AB97" s="10" t="s">
        <v>295</v>
      </c>
      <c r="AC97" s="10"/>
    </row>
    <row r="98" s="2" customFormat="1" ht="109.55" spans="1:29">
      <c r="A98" s="10" t="s">
        <v>29</v>
      </c>
      <c r="B98" s="28" t="s">
        <v>53</v>
      </c>
      <c r="C98" s="29" t="s">
        <v>262</v>
      </c>
      <c r="D98" s="23" t="s">
        <v>296</v>
      </c>
      <c r="E98" s="23"/>
      <c r="F98" s="23"/>
      <c r="G98" s="35"/>
      <c r="H98" s="23" t="s">
        <v>296</v>
      </c>
      <c r="I98" s="10"/>
      <c r="J98" s="10"/>
      <c r="K98" s="10"/>
      <c r="L98" s="10"/>
      <c r="M98" s="10"/>
      <c r="N98" s="10"/>
      <c r="O98" s="10"/>
      <c r="P98" s="10"/>
      <c r="Q98" s="10"/>
      <c r="R98" s="10"/>
      <c r="S98" s="63" t="s">
        <v>297</v>
      </c>
      <c r="T98" s="4" t="s">
        <v>32</v>
      </c>
      <c r="U98" s="63" t="s">
        <v>297</v>
      </c>
      <c r="V98" s="10" t="s">
        <v>33</v>
      </c>
      <c r="W98" s="23"/>
      <c r="X98" s="63" t="s">
        <v>297</v>
      </c>
      <c r="Y98" s="4" t="s">
        <v>32</v>
      </c>
      <c r="Z98" s="10" t="str">
        <f>_xlfn.DISPIMG("ID_53FC27B124AD46F4B5FB19349FB1E9D9",1)</f>
        <v>=DISPIMG("ID_53FC27B124AD46F4B5FB19349FB1E9D9",1)</v>
      </c>
      <c r="AA98" s="10" t="s">
        <v>34</v>
      </c>
      <c r="AB98" s="10" t="s">
        <v>298</v>
      </c>
      <c r="AC98" s="10"/>
    </row>
    <row r="99" s="2" customFormat="1" ht="100.7" spans="1:29">
      <c r="A99" s="10" t="s">
        <v>29</v>
      </c>
      <c r="B99" s="28" t="s">
        <v>53</v>
      </c>
      <c r="C99" s="29" t="s">
        <v>262</v>
      </c>
      <c r="D99" s="28" t="s">
        <v>299</v>
      </c>
      <c r="E99" s="23"/>
      <c r="F99" s="23"/>
      <c r="G99" s="35"/>
      <c r="H99" s="23" t="s">
        <v>300</v>
      </c>
      <c r="I99" s="10"/>
      <c r="J99" s="10"/>
      <c r="K99" s="10"/>
      <c r="L99" s="10"/>
      <c r="M99" s="10"/>
      <c r="N99" s="10"/>
      <c r="O99" s="10"/>
      <c r="P99" s="10"/>
      <c r="Q99" s="10"/>
      <c r="R99" s="10"/>
      <c r="S99" s="62" t="s">
        <v>301</v>
      </c>
      <c r="T99" s="4" t="s">
        <v>32</v>
      </c>
      <c r="U99" s="62" t="s">
        <v>301</v>
      </c>
      <c r="V99" s="10" t="s">
        <v>33</v>
      </c>
      <c r="W99" s="23"/>
      <c r="X99" s="62" t="s">
        <v>301</v>
      </c>
      <c r="Y99" s="4" t="s">
        <v>32</v>
      </c>
      <c r="Z99" s="10" t="str">
        <f>_xlfn.DISPIMG("ID_6B58EE95D0784300BFC9218D44CE034C",1)</f>
        <v>=DISPIMG("ID_6B58EE95D0784300BFC9218D44CE034C",1)</v>
      </c>
      <c r="AA99" s="10" t="s">
        <v>34</v>
      </c>
      <c r="AB99" s="10" t="s">
        <v>302</v>
      </c>
      <c r="AC99" s="10"/>
    </row>
    <row r="100" s="2" customFormat="1" ht="107.3" spans="1:29">
      <c r="A100" s="10" t="s">
        <v>29</v>
      </c>
      <c r="B100" s="28" t="s">
        <v>53</v>
      </c>
      <c r="C100" s="29" t="s">
        <v>262</v>
      </c>
      <c r="D100" s="28" t="s">
        <v>299</v>
      </c>
      <c r="E100" s="23"/>
      <c r="F100" s="23"/>
      <c r="G100" s="35"/>
      <c r="H100" s="23" t="s">
        <v>303</v>
      </c>
      <c r="I100" s="10"/>
      <c r="J100" s="10"/>
      <c r="K100" s="10"/>
      <c r="L100" s="10"/>
      <c r="M100" s="10"/>
      <c r="N100" s="10"/>
      <c r="O100" s="10"/>
      <c r="P100" s="10"/>
      <c r="Q100" s="10"/>
      <c r="R100" s="10"/>
      <c r="S100" s="62" t="s">
        <v>304</v>
      </c>
      <c r="T100" s="4" t="s">
        <v>32</v>
      </c>
      <c r="U100" s="62" t="s">
        <v>304</v>
      </c>
      <c r="V100" s="10" t="s">
        <v>33</v>
      </c>
      <c r="W100" s="23"/>
      <c r="X100" s="62" t="s">
        <v>304</v>
      </c>
      <c r="Y100" s="4" t="s">
        <v>32</v>
      </c>
      <c r="Z100" s="10" t="str">
        <f>_xlfn.DISPIMG("ID_9415EB3AF93A435EA455691559254210",1)</f>
        <v>=DISPIMG("ID_9415EB3AF93A435EA455691559254210",1)</v>
      </c>
      <c r="AA100" s="10" t="s">
        <v>34</v>
      </c>
      <c r="AB100" s="10" t="s">
        <v>305</v>
      </c>
      <c r="AC100" s="10"/>
    </row>
    <row r="101" s="2" customFormat="1" ht="106.1" spans="1:29">
      <c r="A101" s="10" t="s">
        <v>29</v>
      </c>
      <c r="B101" s="28" t="s">
        <v>53</v>
      </c>
      <c r="C101" s="29" t="s">
        <v>262</v>
      </c>
      <c r="D101" s="28" t="s">
        <v>299</v>
      </c>
      <c r="E101" s="10"/>
      <c r="F101" s="23"/>
      <c r="G101" s="35"/>
      <c r="H101" s="10" t="s">
        <v>306</v>
      </c>
      <c r="I101" s="10"/>
      <c r="J101" s="10"/>
      <c r="K101" s="10"/>
      <c r="L101" s="10"/>
      <c r="M101" s="10"/>
      <c r="N101" s="10"/>
      <c r="O101" s="10"/>
      <c r="P101" s="10"/>
      <c r="Q101" s="10"/>
      <c r="R101" s="10"/>
      <c r="S101" s="62" t="s">
        <v>307</v>
      </c>
      <c r="T101" s="4" t="s">
        <v>32</v>
      </c>
      <c r="U101" s="62" t="s">
        <v>307</v>
      </c>
      <c r="V101" s="10" t="s">
        <v>33</v>
      </c>
      <c r="W101" s="23"/>
      <c r="X101" s="62" t="s">
        <v>307</v>
      </c>
      <c r="Y101" s="4" t="s">
        <v>32</v>
      </c>
      <c r="Z101" s="10" t="str">
        <f>_xlfn.DISPIMG("ID_CC13BC78A5344E3AA8EBC914C2C031B6",1)</f>
        <v>=DISPIMG("ID_CC13BC78A5344E3AA8EBC914C2C031B6",1)</v>
      </c>
      <c r="AA101" s="10" t="s">
        <v>34</v>
      </c>
      <c r="AB101" s="10" t="s">
        <v>308</v>
      </c>
      <c r="AC101" s="10"/>
    </row>
    <row r="102" s="2" customFormat="1" ht="105.1" spans="1:29">
      <c r="A102" s="10" t="s">
        <v>29</v>
      </c>
      <c r="B102" s="28" t="s">
        <v>53</v>
      </c>
      <c r="C102" s="29" t="s">
        <v>262</v>
      </c>
      <c r="D102" s="28" t="s">
        <v>299</v>
      </c>
      <c r="E102" s="23"/>
      <c r="F102" s="23"/>
      <c r="G102" s="35"/>
      <c r="H102" s="23" t="s">
        <v>309</v>
      </c>
      <c r="I102" s="10"/>
      <c r="J102" s="10"/>
      <c r="K102" s="10"/>
      <c r="L102" s="10"/>
      <c r="M102" s="10"/>
      <c r="N102" s="10"/>
      <c r="O102" s="10"/>
      <c r="P102" s="10"/>
      <c r="Q102" s="10"/>
      <c r="R102" s="10"/>
      <c r="S102" s="62" t="s">
        <v>310</v>
      </c>
      <c r="T102" s="4" t="s">
        <v>32</v>
      </c>
      <c r="U102" s="62" t="s">
        <v>310</v>
      </c>
      <c r="V102" s="10" t="s">
        <v>33</v>
      </c>
      <c r="W102" s="23"/>
      <c r="X102" s="62" t="s">
        <v>310</v>
      </c>
      <c r="Y102" s="4" t="s">
        <v>32</v>
      </c>
      <c r="Z102" s="10" t="str">
        <f>_xlfn.DISPIMG("ID_51B365EC8D44431697504C7428866026",1)</f>
        <v>=DISPIMG("ID_51B365EC8D44431697504C7428866026",1)</v>
      </c>
      <c r="AA102" s="10" t="s">
        <v>34</v>
      </c>
      <c r="AB102" s="10" t="s">
        <v>311</v>
      </c>
      <c r="AC102" s="10"/>
    </row>
    <row r="103" s="2" customFormat="1" ht="106.15" spans="1:29">
      <c r="A103" s="10" t="s">
        <v>29</v>
      </c>
      <c r="B103" s="28" t="s">
        <v>53</v>
      </c>
      <c r="C103" s="29" t="s">
        <v>262</v>
      </c>
      <c r="D103" s="28" t="s">
        <v>299</v>
      </c>
      <c r="E103" s="23"/>
      <c r="F103" s="23"/>
      <c r="G103" s="35"/>
      <c r="H103" s="23" t="s">
        <v>312</v>
      </c>
      <c r="I103" s="10"/>
      <c r="J103" s="10"/>
      <c r="K103" s="10"/>
      <c r="L103" s="10"/>
      <c r="M103" s="10"/>
      <c r="N103" s="10"/>
      <c r="O103" s="10"/>
      <c r="P103" s="10"/>
      <c r="Q103" s="10"/>
      <c r="R103" s="10"/>
      <c r="S103" s="62" t="s">
        <v>313</v>
      </c>
      <c r="T103" s="4" t="s">
        <v>32</v>
      </c>
      <c r="U103" s="62" t="s">
        <v>313</v>
      </c>
      <c r="V103" s="10" t="s">
        <v>33</v>
      </c>
      <c r="W103" s="23"/>
      <c r="X103" s="62" t="s">
        <v>313</v>
      </c>
      <c r="Y103" s="4" t="s">
        <v>32</v>
      </c>
      <c r="Z103" s="10" t="str">
        <f>_xlfn.DISPIMG("ID_FD85C7C96B63427CB302652D190AC7E9",1)</f>
        <v>=DISPIMG("ID_FD85C7C96B63427CB302652D190AC7E9",1)</v>
      </c>
      <c r="AA103" s="10" t="s">
        <v>34</v>
      </c>
      <c r="AB103" s="10" t="s">
        <v>314</v>
      </c>
      <c r="AC103" s="10"/>
    </row>
    <row r="104" s="2" customFormat="1" ht="107.3" spans="1:29">
      <c r="A104" s="10" t="s">
        <v>29</v>
      </c>
      <c r="B104" s="28" t="s">
        <v>53</v>
      </c>
      <c r="C104" s="29" t="s">
        <v>262</v>
      </c>
      <c r="D104" s="28" t="s">
        <v>299</v>
      </c>
      <c r="E104" s="23"/>
      <c r="F104" s="23"/>
      <c r="G104" s="35"/>
      <c r="H104" s="23" t="s">
        <v>315</v>
      </c>
      <c r="I104" s="10"/>
      <c r="J104" s="10"/>
      <c r="K104" s="10"/>
      <c r="L104" s="10"/>
      <c r="M104" s="10"/>
      <c r="N104" s="10"/>
      <c r="O104" s="10"/>
      <c r="P104" s="10"/>
      <c r="Q104" s="10"/>
      <c r="R104" s="10"/>
      <c r="S104" s="62" t="s">
        <v>316</v>
      </c>
      <c r="T104" s="4" t="s">
        <v>32</v>
      </c>
      <c r="U104" s="62" t="s">
        <v>316</v>
      </c>
      <c r="V104" s="10" t="s">
        <v>33</v>
      </c>
      <c r="W104" s="23"/>
      <c r="X104" s="62" t="s">
        <v>316</v>
      </c>
      <c r="Y104" s="4" t="s">
        <v>32</v>
      </c>
      <c r="Z104" s="10" t="str">
        <f>_xlfn.DISPIMG("ID_F8E36B72F8174E05A1643883754F5F41",1)</f>
        <v>=DISPIMG("ID_F8E36B72F8174E05A1643883754F5F41",1)</v>
      </c>
      <c r="AA104" s="10" t="s">
        <v>34</v>
      </c>
      <c r="AB104" s="10" t="s">
        <v>317</v>
      </c>
      <c r="AC104" s="10"/>
    </row>
    <row r="105" s="2" customFormat="1" ht="230.95" spans="1:29">
      <c r="A105" s="10" t="s">
        <v>29</v>
      </c>
      <c r="B105" s="28" t="s">
        <v>53</v>
      </c>
      <c r="C105" s="29" t="s">
        <v>262</v>
      </c>
      <c r="D105" s="28" t="s">
        <v>299</v>
      </c>
      <c r="E105" s="29"/>
      <c r="F105" s="23"/>
      <c r="G105" s="35"/>
      <c r="H105" s="29" t="s">
        <v>318</v>
      </c>
      <c r="I105" s="10"/>
      <c r="J105" s="10"/>
      <c r="K105" s="10"/>
      <c r="L105" s="10"/>
      <c r="M105" s="10"/>
      <c r="N105" s="10"/>
      <c r="O105" s="10"/>
      <c r="P105" s="10"/>
      <c r="Q105" s="10"/>
      <c r="R105" s="10"/>
      <c r="S105" s="62" t="s">
        <v>319</v>
      </c>
      <c r="T105" s="4" t="s">
        <v>32</v>
      </c>
      <c r="U105" s="62" t="s">
        <v>319</v>
      </c>
      <c r="V105" s="10" t="s">
        <v>33</v>
      </c>
      <c r="W105" s="23"/>
      <c r="X105" s="62" t="s">
        <v>319</v>
      </c>
      <c r="Y105" s="4" t="s">
        <v>32</v>
      </c>
      <c r="Z105" s="10" t="str">
        <f>_xlfn.DISPIMG("ID_7131422BB5B445DEAEEEA820B7A6F5D7",1)</f>
        <v>=DISPIMG("ID_7131422BB5B445DEAEEEA820B7A6F5D7",1)</v>
      </c>
      <c r="AA105" s="10" t="s">
        <v>34</v>
      </c>
      <c r="AB105" s="10" t="s">
        <v>320</v>
      </c>
      <c r="AC105" s="10"/>
    </row>
    <row r="106" s="2" customFormat="1" ht="108.1" spans="1:29">
      <c r="A106" s="10" t="s">
        <v>29</v>
      </c>
      <c r="B106" s="28" t="s">
        <v>53</v>
      </c>
      <c r="C106" s="29" t="s">
        <v>262</v>
      </c>
      <c r="D106" s="28" t="s">
        <v>299</v>
      </c>
      <c r="E106" s="29"/>
      <c r="F106" s="23"/>
      <c r="G106" s="35"/>
      <c r="H106" s="29"/>
      <c r="I106" s="10"/>
      <c r="J106" s="10"/>
      <c r="K106" s="10"/>
      <c r="L106" s="10"/>
      <c r="M106" s="10"/>
      <c r="N106" s="10"/>
      <c r="O106" s="10"/>
      <c r="P106" s="10"/>
      <c r="Q106" s="10"/>
      <c r="R106" s="10"/>
      <c r="S106" s="62" t="s">
        <v>321</v>
      </c>
      <c r="T106" s="4" t="s">
        <v>32</v>
      </c>
      <c r="U106" s="62" t="s">
        <v>321</v>
      </c>
      <c r="V106" s="10" t="s">
        <v>33</v>
      </c>
      <c r="W106" s="23"/>
      <c r="X106" s="62" t="s">
        <v>321</v>
      </c>
      <c r="Y106" s="4" t="s">
        <v>32</v>
      </c>
      <c r="Z106" s="10" t="str">
        <f>_xlfn.DISPIMG("ID_5D91F57BFD554545BA1437595177BCA8",1)</f>
        <v>=DISPIMG("ID_5D91F57BFD554545BA1437595177BCA8",1)</v>
      </c>
      <c r="AA106" s="10" t="s">
        <v>34</v>
      </c>
      <c r="AB106" s="10" t="s">
        <v>322</v>
      </c>
      <c r="AC106" s="10" t="s">
        <v>323</v>
      </c>
    </row>
    <row r="107" s="2" customFormat="1" ht="111.4" spans="1:29">
      <c r="A107" s="10" t="s">
        <v>29</v>
      </c>
      <c r="B107" s="28" t="s">
        <v>53</v>
      </c>
      <c r="C107" s="29" t="s">
        <v>262</v>
      </c>
      <c r="D107" s="29" t="s">
        <v>324</v>
      </c>
      <c r="E107" s="10"/>
      <c r="F107" s="23"/>
      <c r="G107" s="35"/>
      <c r="H107" s="10" t="s">
        <v>325</v>
      </c>
      <c r="I107" s="10"/>
      <c r="J107" s="10"/>
      <c r="K107" s="10"/>
      <c r="L107" s="10"/>
      <c r="M107" s="10"/>
      <c r="N107" s="10"/>
      <c r="O107" s="10"/>
      <c r="P107" s="10"/>
      <c r="Q107" s="10"/>
      <c r="R107" s="10"/>
      <c r="S107" s="62" t="s">
        <v>326</v>
      </c>
      <c r="T107" s="4" t="s">
        <v>32</v>
      </c>
      <c r="U107" s="62" t="s">
        <v>326</v>
      </c>
      <c r="V107" s="10" t="s">
        <v>33</v>
      </c>
      <c r="W107" s="23"/>
      <c r="X107" s="62" t="s">
        <v>326</v>
      </c>
      <c r="Y107" s="4" t="s">
        <v>32</v>
      </c>
      <c r="Z107" s="10" t="str">
        <f>_xlfn.DISPIMG("ID_14A82892D8FD41F78E6937BC3367EF1D",1)</f>
        <v>=DISPIMG("ID_14A82892D8FD41F78E6937BC3367EF1D",1)</v>
      </c>
      <c r="AA107" s="10" t="s">
        <v>34</v>
      </c>
      <c r="AB107" s="10" t="s">
        <v>327</v>
      </c>
      <c r="AC107" s="10" t="s">
        <v>328</v>
      </c>
    </row>
    <row r="108" s="2" customFormat="1" ht="108.8" spans="1:29">
      <c r="A108" s="10" t="s">
        <v>29</v>
      </c>
      <c r="B108" s="28" t="s">
        <v>53</v>
      </c>
      <c r="C108" s="29" t="s">
        <v>262</v>
      </c>
      <c r="D108" s="29" t="s">
        <v>324</v>
      </c>
      <c r="E108" s="23"/>
      <c r="F108" s="23"/>
      <c r="G108" s="35"/>
      <c r="H108" s="23" t="s">
        <v>329</v>
      </c>
      <c r="I108" s="10"/>
      <c r="J108" s="10"/>
      <c r="K108" s="10"/>
      <c r="L108" s="10"/>
      <c r="M108" s="10"/>
      <c r="N108" s="10"/>
      <c r="O108" s="10"/>
      <c r="P108" s="10"/>
      <c r="Q108" s="10"/>
      <c r="R108" s="10"/>
      <c r="S108" s="62" t="s">
        <v>330</v>
      </c>
      <c r="T108" s="4" t="s">
        <v>32</v>
      </c>
      <c r="U108" s="62" t="s">
        <v>330</v>
      </c>
      <c r="V108" s="10" t="s">
        <v>33</v>
      </c>
      <c r="W108" s="23"/>
      <c r="X108" s="62" t="s">
        <v>330</v>
      </c>
      <c r="Y108" s="4" t="s">
        <v>32</v>
      </c>
      <c r="Z108" s="10" t="str">
        <f>_xlfn.DISPIMG("ID_192BBC6F54A04CEE8F48E3CE66513D31",1)</f>
        <v>=DISPIMG("ID_192BBC6F54A04CEE8F48E3CE66513D31",1)</v>
      </c>
      <c r="AA108" s="10" t="s">
        <v>34</v>
      </c>
      <c r="AB108" s="10" t="s">
        <v>331</v>
      </c>
      <c r="AC108" s="10"/>
    </row>
    <row r="109" s="2" customFormat="1" ht="107.85" spans="1:29">
      <c r="A109" s="10" t="s">
        <v>29</v>
      </c>
      <c r="B109" s="10" t="s">
        <v>332</v>
      </c>
      <c r="C109" s="28" t="s">
        <v>333</v>
      </c>
      <c r="D109" s="28" t="s">
        <v>334</v>
      </c>
      <c r="E109" s="23"/>
      <c r="F109" s="23"/>
      <c r="G109" s="35"/>
      <c r="H109" s="28" t="s">
        <v>334</v>
      </c>
      <c r="I109" s="10"/>
      <c r="J109" s="10"/>
      <c r="K109" s="10"/>
      <c r="L109" s="10"/>
      <c r="M109" s="10"/>
      <c r="N109" s="10"/>
      <c r="O109" s="10"/>
      <c r="P109" s="10"/>
      <c r="Q109" s="10"/>
      <c r="R109" s="10"/>
      <c r="S109" s="63" t="s">
        <v>335</v>
      </c>
      <c r="T109" s="4" t="s">
        <v>32</v>
      </c>
      <c r="U109" s="63" t="s">
        <v>335</v>
      </c>
      <c r="V109" s="10" t="s">
        <v>33</v>
      </c>
      <c r="W109" s="23"/>
      <c r="X109" s="63" t="s">
        <v>335</v>
      </c>
      <c r="Y109" s="4" t="s">
        <v>32</v>
      </c>
      <c r="Z109" s="10" t="str">
        <f>_xlfn.DISPIMG("ID_D6DC076ACBE24E928E44CE4191293478",1)</f>
        <v>=DISPIMG("ID_D6DC076ACBE24E928E44CE4191293478",1)</v>
      </c>
      <c r="AA109" s="10" t="s">
        <v>34</v>
      </c>
      <c r="AB109" s="10" t="s">
        <v>336</v>
      </c>
      <c r="AC109" s="10"/>
    </row>
    <row r="110" s="2" customFormat="1" ht="92.4" spans="1:29">
      <c r="A110" s="10" t="s">
        <v>29</v>
      </c>
      <c r="B110" s="10" t="s">
        <v>332</v>
      </c>
      <c r="C110" s="28" t="s">
        <v>333</v>
      </c>
      <c r="D110" s="28" t="s">
        <v>334</v>
      </c>
      <c r="E110" s="23"/>
      <c r="F110" s="23"/>
      <c r="G110" s="35"/>
      <c r="H110" s="28"/>
      <c r="I110" s="10"/>
      <c r="J110" s="10"/>
      <c r="K110" s="10"/>
      <c r="L110" s="10"/>
      <c r="M110" s="10"/>
      <c r="N110" s="10"/>
      <c r="O110" s="10"/>
      <c r="P110" s="10"/>
      <c r="Q110" s="10"/>
      <c r="R110" s="10"/>
      <c r="S110" s="63" t="s">
        <v>337</v>
      </c>
      <c r="T110" s="4" t="s">
        <v>68</v>
      </c>
      <c r="U110" s="63" t="s">
        <v>338</v>
      </c>
      <c r="V110" s="10" t="s">
        <v>33</v>
      </c>
      <c r="W110" s="23"/>
      <c r="X110" s="63" t="s">
        <v>337</v>
      </c>
      <c r="Y110" s="4" t="s">
        <v>68</v>
      </c>
      <c r="Z110" s="10" t="str">
        <f>_xlfn.DISPIMG("ID_A6AF2018B0674B6CB782FFF2BB8BCAEB",1)</f>
        <v>=DISPIMG("ID_A6AF2018B0674B6CB782FFF2BB8BCAEB",1)</v>
      </c>
      <c r="AA110" s="10" t="s">
        <v>34</v>
      </c>
      <c r="AB110" s="10" t="s">
        <v>339</v>
      </c>
      <c r="AC110" s="10"/>
    </row>
    <row r="111" s="2" customFormat="1" ht="108.5" spans="1:29">
      <c r="A111" s="10" t="s">
        <v>29</v>
      </c>
      <c r="B111" s="10" t="s">
        <v>332</v>
      </c>
      <c r="C111" s="28" t="s">
        <v>333</v>
      </c>
      <c r="D111" s="28" t="s">
        <v>340</v>
      </c>
      <c r="E111" s="23"/>
      <c r="F111" s="23"/>
      <c r="G111" s="35"/>
      <c r="H111" s="28" t="s">
        <v>340</v>
      </c>
      <c r="I111" s="10"/>
      <c r="J111" s="10"/>
      <c r="K111" s="10"/>
      <c r="L111" s="10"/>
      <c r="M111" s="10"/>
      <c r="N111" s="10"/>
      <c r="O111" s="10"/>
      <c r="P111" s="10"/>
      <c r="Q111" s="10"/>
      <c r="R111" s="10"/>
      <c r="S111" s="63" t="s">
        <v>341</v>
      </c>
      <c r="T111" s="4" t="s">
        <v>32</v>
      </c>
      <c r="U111" s="63" t="s">
        <v>341</v>
      </c>
      <c r="V111" s="10" t="s">
        <v>33</v>
      </c>
      <c r="W111" s="23"/>
      <c r="X111" s="63" t="s">
        <v>341</v>
      </c>
      <c r="Y111" s="4" t="s">
        <v>32</v>
      </c>
      <c r="Z111" s="10" t="str">
        <f>_xlfn.DISPIMG("ID_35C51EA646244DC1964E54D2714A360D",1)</f>
        <v>=DISPIMG("ID_35C51EA646244DC1964E54D2714A360D",1)</v>
      </c>
      <c r="AA111" s="10" t="s">
        <v>34</v>
      </c>
      <c r="AB111" s="10" t="s">
        <v>342</v>
      </c>
      <c r="AC111" s="10"/>
    </row>
    <row r="112" s="2" customFormat="1" ht="99" spans="1:29">
      <c r="A112" s="10" t="s">
        <v>29</v>
      </c>
      <c r="B112" s="10" t="s">
        <v>332</v>
      </c>
      <c r="C112" s="28" t="s">
        <v>333</v>
      </c>
      <c r="D112" s="28" t="s">
        <v>340</v>
      </c>
      <c r="E112" s="23"/>
      <c r="F112" s="23"/>
      <c r="G112" s="35"/>
      <c r="H112" s="28"/>
      <c r="I112" s="10"/>
      <c r="J112" s="10"/>
      <c r="K112" s="10"/>
      <c r="L112" s="10"/>
      <c r="M112" s="10"/>
      <c r="N112" s="10"/>
      <c r="O112" s="10"/>
      <c r="P112" s="10"/>
      <c r="Q112" s="10"/>
      <c r="R112" s="10"/>
      <c r="S112" s="63" t="s">
        <v>343</v>
      </c>
      <c r="T112" s="4" t="s">
        <v>68</v>
      </c>
      <c r="U112" s="63" t="s">
        <v>344</v>
      </c>
      <c r="V112" s="10" t="s">
        <v>33</v>
      </c>
      <c r="W112" s="23"/>
      <c r="X112" s="63" t="s">
        <v>343</v>
      </c>
      <c r="Y112" s="4" t="s">
        <v>68</v>
      </c>
      <c r="Z112" s="10" t="str">
        <f>_xlfn.DISPIMG("ID_7AEE4545520E4B539621C3A927B879D9",1)</f>
        <v>=DISPIMG("ID_7AEE4545520E4B539621C3A927B879D9",1)</v>
      </c>
      <c r="AA112" s="10" t="s">
        <v>34</v>
      </c>
      <c r="AB112" s="10" t="s">
        <v>345</v>
      </c>
      <c r="AC112" s="10" t="s">
        <v>346</v>
      </c>
    </row>
    <row r="113" s="2" customFormat="1" ht="121.8" spans="1:29">
      <c r="A113" s="10" t="s">
        <v>29</v>
      </c>
      <c r="B113" s="10" t="s">
        <v>332</v>
      </c>
      <c r="C113" s="28" t="s">
        <v>333</v>
      </c>
      <c r="D113" s="28" t="s">
        <v>340</v>
      </c>
      <c r="E113" s="23"/>
      <c r="F113" s="23"/>
      <c r="G113" s="35"/>
      <c r="H113" s="28"/>
      <c r="I113" s="10"/>
      <c r="J113" s="10"/>
      <c r="K113" s="10"/>
      <c r="L113" s="10"/>
      <c r="M113" s="10"/>
      <c r="N113" s="10"/>
      <c r="O113" s="10"/>
      <c r="P113" s="10"/>
      <c r="Q113" s="10"/>
      <c r="R113" s="10"/>
      <c r="S113" s="63" t="s">
        <v>347</v>
      </c>
      <c r="T113" s="4" t="s">
        <v>32</v>
      </c>
      <c r="U113" s="63" t="s">
        <v>347</v>
      </c>
      <c r="V113" s="10" t="s">
        <v>33</v>
      </c>
      <c r="W113" s="23"/>
      <c r="X113" s="63" t="s">
        <v>347</v>
      </c>
      <c r="Y113" s="4" t="s">
        <v>32</v>
      </c>
      <c r="Z113" s="10" t="str">
        <f>_xlfn.DISPIMG("ID_E5AD50F92DCE4F1E943A61413FF9BFEC",1)</f>
        <v>=DISPIMG("ID_E5AD50F92DCE4F1E943A61413FF9BFEC",1)</v>
      </c>
      <c r="AA113" s="10" t="s">
        <v>34</v>
      </c>
      <c r="AB113" s="10" t="s">
        <v>348</v>
      </c>
      <c r="AC113" s="10"/>
    </row>
    <row r="114" s="2" customFormat="1" ht="106.9" spans="1:29">
      <c r="A114" s="10" t="s">
        <v>29</v>
      </c>
      <c r="B114" s="10" t="s">
        <v>332</v>
      </c>
      <c r="C114" s="28" t="s">
        <v>333</v>
      </c>
      <c r="D114" s="28" t="s">
        <v>349</v>
      </c>
      <c r="E114" s="23"/>
      <c r="F114" s="23"/>
      <c r="G114" s="35"/>
      <c r="H114" s="28" t="s">
        <v>349</v>
      </c>
      <c r="I114" s="10"/>
      <c r="J114" s="10"/>
      <c r="K114" s="10"/>
      <c r="L114" s="10"/>
      <c r="M114" s="10"/>
      <c r="N114" s="10"/>
      <c r="O114" s="10"/>
      <c r="P114" s="10"/>
      <c r="Q114" s="10"/>
      <c r="R114" s="10"/>
      <c r="S114" s="63" t="s">
        <v>350</v>
      </c>
      <c r="T114" s="4" t="s">
        <v>32</v>
      </c>
      <c r="U114" s="63" t="s">
        <v>350</v>
      </c>
      <c r="V114" s="10" t="s">
        <v>33</v>
      </c>
      <c r="W114" s="23"/>
      <c r="X114" s="63" t="s">
        <v>350</v>
      </c>
      <c r="Y114" s="4" t="s">
        <v>32</v>
      </c>
      <c r="Z114" s="10" t="str">
        <f>_xlfn.DISPIMG("ID_F5164A13F2BB44A78B5F33FF60D413A2",1)</f>
        <v>=DISPIMG("ID_F5164A13F2BB44A78B5F33FF60D413A2",1)</v>
      </c>
      <c r="AA114" s="10" t="s">
        <v>34</v>
      </c>
      <c r="AB114" s="10" t="s">
        <v>351</v>
      </c>
      <c r="AC114" s="10" t="s">
        <v>352</v>
      </c>
    </row>
    <row r="115" s="2" customFormat="1" ht="75.9" spans="1:29">
      <c r="A115" s="10" t="s">
        <v>29</v>
      </c>
      <c r="B115" s="10" t="s">
        <v>332</v>
      </c>
      <c r="C115" s="28" t="s">
        <v>333</v>
      </c>
      <c r="D115" s="28" t="s">
        <v>349</v>
      </c>
      <c r="E115" s="23"/>
      <c r="F115" s="23"/>
      <c r="G115" s="35"/>
      <c r="H115" s="28"/>
      <c r="I115" s="10"/>
      <c r="J115" s="10"/>
      <c r="K115" s="10"/>
      <c r="L115" s="10"/>
      <c r="M115" s="10"/>
      <c r="N115" s="10"/>
      <c r="O115" s="10"/>
      <c r="P115" s="10"/>
      <c r="Q115" s="10"/>
      <c r="R115" s="10"/>
      <c r="S115" s="63" t="s">
        <v>353</v>
      </c>
      <c r="T115" s="4" t="s">
        <v>68</v>
      </c>
      <c r="U115" s="63" t="s">
        <v>354</v>
      </c>
      <c r="V115" s="10" t="s">
        <v>33</v>
      </c>
      <c r="W115" s="23"/>
      <c r="X115" s="63" t="s">
        <v>353</v>
      </c>
      <c r="Y115" s="4" t="s">
        <v>68</v>
      </c>
      <c r="Z115" s="10" t="str">
        <f>_xlfn.DISPIMG("ID_75C5E7B5B5EE482CBB738C541A986357",1)</f>
        <v>=DISPIMG("ID_75C5E7B5B5EE482CBB738C541A986357",1)</v>
      </c>
      <c r="AA115" s="10" t="s">
        <v>34</v>
      </c>
      <c r="AB115" s="10" t="s">
        <v>355</v>
      </c>
      <c r="AC115" s="10" t="s">
        <v>352</v>
      </c>
    </row>
    <row r="116" s="2" customFormat="1" ht="115.25" spans="1:29">
      <c r="A116" s="10" t="s">
        <v>29</v>
      </c>
      <c r="B116" s="10" t="s">
        <v>332</v>
      </c>
      <c r="C116" s="28" t="s">
        <v>333</v>
      </c>
      <c r="D116" s="28" t="s">
        <v>349</v>
      </c>
      <c r="E116" s="23"/>
      <c r="F116" s="23"/>
      <c r="G116" s="35"/>
      <c r="H116" s="28"/>
      <c r="I116" s="10"/>
      <c r="J116" s="10"/>
      <c r="K116" s="10"/>
      <c r="L116" s="10"/>
      <c r="M116" s="10"/>
      <c r="N116" s="10"/>
      <c r="O116" s="10"/>
      <c r="P116" s="10"/>
      <c r="Q116" s="10"/>
      <c r="R116" s="10"/>
      <c r="S116" s="63" t="s">
        <v>349</v>
      </c>
      <c r="T116" s="4" t="s">
        <v>32</v>
      </c>
      <c r="U116" s="63" t="s">
        <v>349</v>
      </c>
      <c r="V116" s="10" t="s">
        <v>33</v>
      </c>
      <c r="W116" s="23"/>
      <c r="X116" s="63" t="s">
        <v>349</v>
      </c>
      <c r="Y116" s="4" t="s">
        <v>32</v>
      </c>
      <c r="Z116" s="10" t="str">
        <f>_xlfn.DISPIMG("ID_2FDABA928A3D41EBACD5BA7B3102D43D",1)</f>
        <v>=DISPIMG("ID_2FDABA928A3D41EBACD5BA7B3102D43D",1)</v>
      </c>
      <c r="AA116" s="10" t="s">
        <v>34</v>
      </c>
      <c r="AB116" s="10" t="s">
        <v>356</v>
      </c>
      <c r="AC116" s="10"/>
    </row>
    <row r="117" s="2" customFormat="1" ht="148.5" spans="1:29">
      <c r="A117" s="10" t="s">
        <v>29</v>
      </c>
      <c r="B117" s="10" t="s">
        <v>332</v>
      </c>
      <c r="C117" s="28" t="s">
        <v>333</v>
      </c>
      <c r="D117" s="28" t="s">
        <v>349</v>
      </c>
      <c r="E117" s="23"/>
      <c r="F117" s="23"/>
      <c r="G117" s="35"/>
      <c r="H117" s="28"/>
      <c r="I117" s="10"/>
      <c r="J117" s="10"/>
      <c r="K117" s="10"/>
      <c r="L117" s="10"/>
      <c r="M117" s="10"/>
      <c r="N117" s="10"/>
      <c r="O117" s="10"/>
      <c r="P117" s="10"/>
      <c r="Q117" s="10"/>
      <c r="R117" s="10"/>
      <c r="S117" s="63" t="s">
        <v>357</v>
      </c>
      <c r="T117" s="4" t="s">
        <v>68</v>
      </c>
      <c r="U117" s="63" t="s">
        <v>358</v>
      </c>
      <c r="V117" s="10" t="s">
        <v>33</v>
      </c>
      <c r="W117" s="23"/>
      <c r="X117" s="63" t="s">
        <v>357</v>
      </c>
      <c r="Y117" s="4" t="s">
        <v>68</v>
      </c>
      <c r="Z117" s="10" t="str">
        <f>_xlfn.DISPIMG("ID_14ABA005E3AC4809ADEDFF6ECD00233F",1)</f>
        <v>=DISPIMG("ID_14ABA005E3AC4809ADEDFF6ECD00233F",1)</v>
      </c>
      <c r="AA117" s="10" t="s">
        <v>34</v>
      </c>
      <c r="AB117" s="10" t="s">
        <v>359</v>
      </c>
      <c r="AC117" s="10"/>
    </row>
    <row r="118" s="2" customFormat="1" ht="108" spans="1:29">
      <c r="A118" s="10" t="s">
        <v>29</v>
      </c>
      <c r="B118" s="10" t="s">
        <v>332</v>
      </c>
      <c r="C118" s="28" t="s">
        <v>333</v>
      </c>
      <c r="D118" s="28" t="s">
        <v>360</v>
      </c>
      <c r="F118" s="64"/>
      <c r="G118" s="35"/>
      <c r="H118" s="10" t="s">
        <v>361</v>
      </c>
      <c r="I118" s="10"/>
      <c r="J118" s="10"/>
      <c r="K118" s="10"/>
      <c r="L118" s="10"/>
      <c r="M118" s="10"/>
      <c r="N118" s="10"/>
      <c r="O118" s="10"/>
      <c r="P118" s="10"/>
      <c r="Q118" s="10"/>
      <c r="R118" s="10"/>
      <c r="S118" s="63" t="s">
        <v>362</v>
      </c>
      <c r="T118" s="4" t="s">
        <v>32</v>
      </c>
      <c r="U118" s="63" t="s">
        <v>362</v>
      </c>
      <c r="V118" s="10" t="s">
        <v>33</v>
      </c>
      <c r="W118" s="23"/>
      <c r="X118" s="63" t="s">
        <v>362</v>
      </c>
      <c r="Y118" s="4" t="s">
        <v>32</v>
      </c>
      <c r="Z118" s="10" t="str">
        <f>_xlfn.DISPIMG("ID_19F930A481424A0DB29F0F713110B3A1",1)</f>
        <v>=DISPIMG("ID_19F930A481424A0DB29F0F713110B3A1",1)</v>
      </c>
      <c r="AA118" s="10" t="s">
        <v>34</v>
      </c>
      <c r="AB118" s="10" t="s">
        <v>363</v>
      </c>
      <c r="AC118" s="10" t="s">
        <v>364</v>
      </c>
    </row>
    <row r="119" s="2" customFormat="1" ht="105.85" spans="1:29">
      <c r="A119" s="10" t="s">
        <v>29</v>
      </c>
      <c r="B119" s="10" t="s">
        <v>332</v>
      </c>
      <c r="C119" s="28" t="s">
        <v>333</v>
      </c>
      <c r="D119" s="28" t="s">
        <v>360</v>
      </c>
      <c r="E119" s="13"/>
      <c r="F119" s="23"/>
      <c r="G119" s="35"/>
      <c r="H119" s="10" t="s">
        <v>365</v>
      </c>
      <c r="I119" s="10"/>
      <c r="J119" s="10"/>
      <c r="K119" s="10"/>
      <c r="L119" s="10"/>
      <c r="M119" s="10"/>
      <c r="N119" s="10"/>
      <c r="O119" s="10"/>
      <c r="P119" s="10"/>
      <c r="Q119" s="10"/>
      <c r="R119" s="10"/>
      <c r="S119" s="63" t="s">
        <v>365</v>
      </c>
      <c r="T119" s="4" t="s">
        <v>32</v>
      </c>
      <c r="U119" s="63" t="s">
        <v>365</v>
      </c>
      <c r="V119" s="10" t="s">
        <v>33</v>
      </c>
      <c r="W119" s="23"/>
      <c r="X119" s="63" t="s">
        <v>365</v>
      </c>
      <c r="Y119" s="4" t="s">
        <v>32</v>
      </c>
      <c r="Z119" s="10" t="str">
        <f>_xlfn.DISPIMG("ID_66D281E7D81F4A7F87BCC9AD3088CB98",1)</f>
        <v>=DISPIMG("ID_66D281E7D81F4A7F87BCC9AD3088CB98",1)</v>
      </c>
      <c r="AA119" s="10" t="s">
        <v>34</v>
      </c>
      <c r="AB119" s="10" t="s">
        <v>366</v>
      </c>
      <c r="AC119" s="10" t="s">
        <v>367</v>
      </c>
    </row>
    <row r="120" s="2" customFormat="1" ht="87.1" spans="1:29">
      <c r="A120" s="10" t="s">
        <v>29</v>
      </c>
      <c r="B120" s="10" t="s">
        <v>332</v>
      </c>
      <c r="C120" s="28" t="s">
        <v>333</v>
      </c>
      <c r="D120" s="28" t="s">
        <v>360</v>
      </c>
      <c r="E120" s="13"/>
      <c r="F120" s="29"/>
      <c r="G120" s="35"/>
      <c r="H120" s="28" t="s">
        <v>368</v>
      </c>
      <c r="I120" s="10"/>
      <c r="J120" s="10"/>
      <c r="K120" s="10"/>
      <c r="L120" s="10"/>
      <c r="M120" s="10"/>
      <c r="N120" s="10"/>
      <c r="O120" s="10"/>
      <c r="P120" s="10"/>
      <c r="Q120" s="10"/>
      <c r="R120" s="10"/>
      <c r="S120" s="63" t="s">
        <v>369</v>
      </c>
      <c r="T120" s="4" t="s">
        <v>68</v>
      </c>
      <c r="U120" s="63" t="s">
        <v>370</v>
      </c>
      <c r="V120" s="10" t="s">
        <v>33</v>
      </c>
      <c r="W120" s="23"/>
      <c r="X120" s="63" t="s">
        <v>369</v>
      </c>
      <c r="Y120" s="4" t="s">
        <v>68</v>
      </c>
      <c r="Z120" s="10" t="str">
        <f>_xlfn.DISPIMG("ID_50813D7EC03348E4844A9F10AEC101F3",1)</f>
        <v>=DISPIMG("ID_50813D7EC03348E4844A9F10AEC101F3",1)</v>
      </c>
      <c r="AA120" s="10" t="s">
        <v>34</v>
      </c>
      <c r="AB120" s="10" t="s">
        <v>371</v>
      </c>
      <c r="AC120" s="10" t="s">
        <v>372</v>
      </c>
    </row>
    <row r="121" s="2" customFormat="1" ht="124.2" spans="1:29">
      <c r="A121" s="10" t="s">
        <v>29</v>
      </c>
      <c r="B121" s="10" t="s">
        <v>332</v>
      </c>
      <c r="C121" s="28" t="s">
        <v>333</v>
      </c>
      <c r="D121" s="28" t="s">
        <v>360</v>
      </c>
      <c r="E121" s="13"/>
      <c r="F121" s="29"/>
      <c r="G121" s="35"/>
      <c r="H121" s="28"/>
      <c r="I121" s="10"/>
      <c r="J121" s="10"/>
      <c r="K121" s="10"/>
      <c r="L121" s="10"/>
      <c r="M121" s="10"/>
      <c r="N121" s="10"/>
      <c r="O121" s="10"/>
      <c r="P121" s="10"/>
      <c r="Q121" s="10"/>
      <c r="R121" s="10"/>
      <c r="S121" s="63" t="s">
        <v>373</v>
      </c>
      <c r="T121" s="4" t="s">
        <v>32</v>
      </c>
      <c r="U121" s="63" t="s">
        <v>373</v>
      </c>
      <c r="V121" s="10" t="s">
        <v>33</v>
      </c>
      <c r="W121" s="23"/>
      <c r="X121" s="63" t="s">
        <v>373</v>
      </c>
      <c r="Y121" s="4" t="s">
        <v>32</v>
      </c>
      <c r="Z121" s="10" t="str">
        <f>_xlfn.DISPIMG("ID_2C203821382D4A8588911EA9C4A44253",1)</f>
        <v>=DISPIMG("ID_2C203821382D4A8588911EA9C4A44253",1)</v>
      </c>
      <c r="AA121" s="10" t="s">
        <v>34</v>
      </c>
      <c r="AB121" s="10" t="s">
        <v>374</v>
      </c>
      <c r="AC121" s="10" t="s">
        <v>375</v>
      </c>
    </row>
    <row r="122" s="2" customFormat="1" ht="69.55" spans="1:29">
      <c r="A122" s="10" t="s">
        <v>29</v>
      </c>
      <c r="B122" s="10" t="s">
        <v>332</v>
      </c>
      <c r="C122" s="28" t="s">
        <v>333</v>
      </c>
      <c r="D122" s="28" t="s">
        <v>360</v>
      </c>
      <c r="E122" s="13"/>
      <c r="F122" s="29"/>
      <c r="G122" s="35"/>
      <c r="H122" s="28"/>
      <c r="I122" s="10"/>
      <c r="J122" s="10"/>
      <c r="K122" s="10"/>
      <c r="L122" s="10"/>
      <c r="M122" s="10"/>
      <c r="N122" s="10"/>
      <c r="O122" s="10"/>
      <c r="P122" s="10"/>
      <c r="Q122" s="10"/>
      <c r="R122" s="10"/>
      <c r="S122" s="63" t="s">
        <v>376</v>
      </c>
      <c r="T122" s="4" t="s">
        <v>68</v>
      </c>
      <c r="U122" s="63" t="s">
        <v>377</v>
      </c>
      <c r="V122" s="10" t="s">
        <v>33</v>
      </c>
      <c r="W122" s="23"/>
      <c r="X122" s="63" t="s">
        <v>376</v>
      </c>
      <c r="Y122" s="4" t="s">
        <v>68</v>
      </c>
      <c r="Z122" s="10" t="str">
        <f>_xlfn.DISPIMG("ID_BEDC2A90D7AA4BBC980E405380BA4722",1)</f>
        <v>=DISPIMG("ID_BEDC2A90D7AA4BBC980E405380BA4722",1)</v>
      </c>
      <c r="AA122" s="10" t="s">
        <v>34</v>
      </c>
      <c r="AB122" s="10" t="s">
        <v>378</v>
      </c>
      <c r="AC122" s="10" t="s">
        <v>379</v>
      </c>
    </row>
    <row r="123" s="2" customFormat="1" ht="70.4" spans="1:29">
      <c r="A123" s="10" t="s">
        <v>29</v>
      </c>
      <c r="B123" s="10" t="s">
        <v>332</v>
      </c>
      <c r="C123" s="28" t="s">
        <v>333</v>
      </c>
      <c r="D123" s="28" t="s">
        <v>360</v>
      </c>
      <c r="E123" s="13"/>
      <c r="F123" s="29"/>
      <c r="G123" s="35"/>
      <c r="H123" s="28"/>
      <c r="I123" s="10"/>
      <c r="J123" s="10"/>
      <c r="K123" s="10"/>
      <c r="L123" s="10"/>
      <c r="M123" s="10"/>
      <c r="N123" s="10"/>
      <c r="O123" s="10"/>
      <c r="P123" s="10"/>
      <c r="Q123" s="10"/>
      <c r="R123" s="10"/>
      <c r="S123" s="63" t="s">
        <v>380</v>
      </c>
      <c r="T123" s="4" t="s">
        <v>32</v>
      </c>
      <c r="U123" s="63" t="s">
        <v>380</v>
      </c>
      <c r="V123" s="10" t="s">
        <v>33</v>
      </c>
      <c r="W123" s="23"/>
      <c r="X123" s="63" t="s">
        <v>380</v>
      </c>
      <c r="Y123" s="4" t="s">
        <v>32</v>
      </c>
      <c r="Z123" s="10" t="str">
        <f>_xlfn.DISPIMG("ID_03B797B5BC2C496CB3D963C218B704E4",1)</f>
        <v>=DISPIMG("ID_03B797B5BC2C496CB3D963C218B704E4",1)</v>
      </c>
      <c r="AA123" s="10" t="s">
        <v>34</v>
      </c>
      <c r="AB123" s="10" t="s">
        <v>381</v>
      </c>
      <c r="AC123" s="10" t="s">
        <v>379</v>
      </c>
    </row>
    <row r="124" s="2" customFormat="1" ht="66" spans="1:29">
      <c r="A124" s="10" t="s">
        <v>29</v>
      </c>
      <c r="B124" s="10" t="s">
        <v>332</v>
      </c>
      <c r="C124" s="28" t="s">
        <v>333</v>
      </c>
      <c r="D124" s="28" t="s">
        <v>360</v>
      </c>
      <c r="E124" s="13"/>
      <c r="F124" s="29"/>
      <c r="G124" s="35"/>
      <c r="H124" s="28"/>
      <c r="I124" s="10"/>
      <c r="J124" s="10"/>
      <c r="K124" s="10"/>
      <c r="L124" s="10"/>
      <c r="M124" s="10"/>
      <c r="N124" s="10"/>
      <c r="O124" s="10"/>
      <c r="P124" s="10"/>
      <c r="Q124" s="10"/>
      <c r="R124" s="10"/>
      <c r="S124" s="63" t="s">
        <v>382</v>
      </c>
      <c r="T124" s="4" t="s">
        <v>68</v>
      </c>
      <c r="U124" s="63" t="s">
        <v>383</v>
      </c>
      <c r="V124" s="10" t="s">
        <v>33</v>
      </c>
      <c r="W124" s="23"/>
      <c r="X124" s="63" t="s">
        <v>382</v>
      </c>
      <c r="Y124" s="4" t="s">
        <v>68</v>
      </c>
      <c r="Z124" s="10" t="str">
        <f>_xlfn.DISPIMG("ID_9AE786F157734493946ECBFD6D4C32A0",1)</f>
        <v>=DISPIMG("ID_9AE786F157734493946ECBFD6D4C32A0",1)</v>
      </c>
      <c r="AA124" s="10" t="s">
        <v>34</v>
      </c>
      <c r="AB124" s="10" t="s">
        <v>384</v>
      </c>
      <c r="AC124" s="10" t="s">
        <v>385</v>
      </c>
    </row>
    <row r="125" s="2" customFormat="1" ht="49.5" spans="1:29">
      <c r="A125" s="10" t="s">
        <v>29</v>
      </c>
      <c r="B125" s="10" t="s">
        <v>332</v>
      </c>
      <c r="C125" s="28" t="s">
        <v>333</v>
      </c>
      <c r="D125" s="28" t="s">
        <v>360</v>
      </c>
      <c r="E125" s="13"/>
      <c r="F125" s="29"/>
      <c r="G125" s="35"/>
      <c r="H125" s="28"/>
      <c r="I125" s="10"/>
      <c r="J125" s="10"/>
      <c r="K125" s="10"/>
      <c r="L125" s="10"/>
      <c r="M125" s="10"/>
      <c r="N125" s="10"/>
      <c r="O125" s="10"/>
      <c r="P125" s="10"/>
      <c r="Q125" s="10"/>
      <c r="R125" s="10"/>
      <c r="S125" s="63" t="s">
        <v>386</v>
      </c>
      <c r="T125" s="4" t="s">
        <v>32</v>
      </c>
      <c r="U125" s="63" t="s">
        <v>386</v>
      </c>
      <c r="V125" s="10" t="s">
        <v>33</v>
      </c>
      <c r="W125" s="23"/>
      <c r="X125" s="63" t="s">
        <v>386</v>
      </c>
      <c r="Y125" s="4" t="s">
        <v>32</v>
      </c>
      <c r="Z125" s="10" t="str">
        <f>_xlfn.DISPIMG("ID_18FE5551D02744B2B05264F187FA7B5A",1)</f>
        <v>=DISPIMG("ID_18FE5551D02744B2B05264F187FA7B5A",1)</v>
      </c>
      <c r="AA125" s="10" t="s">
        <v>34</v>
      </c>
      <c r="AB125" s="10" t="s">
        <v>387</v>
      </c>
      <c r="AC125" s="10" t="s">
        <v>388</v>
      </c>
    </row>
    <row r="126" s="2" customFormat="1" ht="82.5" spans="1:29">
      <c r="A126" s="10" t="s">
        <v>29</v>
      </c>
      <c r="B126" s="10" t="s">
        <v>332</v>
      </c>
      <c r="C126" s="28" t="s">
        <v>333</v>
      </c>
      <c r="D126" s="28" t="s">
        <v>360</v>
      </c>
      <c r="E126" s="13"/>
      <c r="F126" s="29"/>
      <c r="G126" s="35"/>
      <c r="H126" s="28"/>
      <c r="I126" s="10"/>
      <c r="J126" s="10"/>
      <c r="K126" s="10"/>
      <c r="L126" s="10"/>
      <c r="M126" s="10"/>
      <c r="N126" s="10"/>
      <c r="O126" s="10"/>
      <c r="P126" s="10"/>
      <c r="Q126" s="10"/>
      <c r="R126" s="10"/>
      <c r="S126" s="63" t="s">
        <v>389</v>
      </c>
      <c r="T126" s="4" t="s">
        <v>68</v>
      </c>
      <c r="U126" s="63" t="s">
        <v>390</v>
      </c>
      <c r="V126" s="10" t="s">
        <v>33</v>
      </c>
      <c r="W126" s="23"/>
      <c r="X126" s="63" t="s">
        <v>389</v>
      </c>
      <c r="Y126" s="4" t="s">
        <v>68</v>
      </c>
      <c r="Z126" s="10" t="str">
        <f>_xlfn.DISPIMG("ID_BD1460AA726C4B15BC6F7929DEB54B5E",1)</f>
        <v>=DISPIMG("ID_BD1460AA726C4B15BC6F7929DEB54B5E",1)</v>
      </c>
      <c r="AA126" s="10" t="s">
        <v>34</v>
      </c>
      <c r="AB126" s="10" t="s">
        <v>391</v>
      </c>
      <c r="AC126" s="10" t="s">
        <v>388</v>
      </c>
    </row>
    <row r="127" s="2" customFormat="1" ht="49.5" spans="1:29">
      <c r="A127" s="10" t="s">
        <v>29</v>
      </c>
      <c r="B127" s="10" t="s">
        <v>332</v>
      </c>
      <c r="C127" s="28" t="s">
        <v>333</v>
      </c>
      <c r="D127" s="28" t="s">
        <v>360</v>
      </c>
      <c r="E127" s="13"/>
      <c r="F127" s="23"/>
      <c r="G127" s="35"/>
      <c r="H127" s="28"/>
      <c r="I127" s="10"/>
      <c r="J127" s="10"/>
      <c r="K127" s="10"/>
      <c r="L127" s="10"/>
      <c r="M127" s="10"/>
      <c r="N127" s="10"/>
      <c r="O127" s="10"/>
      <c r="P127" s="10"/>
      <c r="Q127" s="10"/>
      <c r="R127" s="10"/>
      <c r="S127" s="63" t="s">
        <v>392</v>
      </c>
      <c r="T127" s="4" t="s">
        <v>32</v>
      </c>
      <c r="U127" s="63" t="s">
        <v>392</v>
      </c>
      <c r="V127" s="10" t="s">
        <v>33</v>
      </c>
      <c r="W127" s="23"/>
      <c r="X127" s="63" t="s">
        <v>392</v>
      </c>
      <c r="Y127" s="4" t="s">
        <v>32</v>
      </c>
      <c r="Z127" s="10" t="str">
        <f>_xlfn.DISPIMG("ID_2DDEE16F992C4338BAB0AFC677A63ED0",1)</f>
        <v>=DISPIMG("ID_2DDEE16F992C4338BAB0AFC677A63ED0",1)</v>
      </c>
      <c r="AA127" s="10" t="s">
        <v>34</v>
      </c>
      <c r="AB127" s="10" t="s">
        <v>393</v>
      </c>
      <c r="AC127" s="10" t="s">
        <v>388</v>
      </c>
    </row>
    <row r="128" s="2" customFormat="1" ht="49.5" spans="1:29">
      <c r="A128" s="10" t="s">
        <v>29</v>
      </c>
      <c r="B128" s="10" t="s">
        <v>332</v>
      </c>
      <c r="C128" s="28" t="s">
        <v>394</v>
      </c>
      <c r="D128" s="29" t="s">
        <v>395</v>
      </c>
      <c r="E128" s="23"/>
      <c r="F128" s="23"/>
      <c r="G128" s="35"/>
      <c r="H128" s="29" t="s">
        <v>395</v>
      </c>
      <c r="I128" s="10"/>
      <c r="J128" s="10"/>
      <c r="K128" s="10"/>
      <c r="L128" s="10"/>
      <c r="M128" s="10"/>
      <c r="N128" s="10"/>
      <c r="O128" s="10"/>
      <c r="P128" s="10"/>
      <c r="Q128" s="10"/>
      <c r="R128" s="10"/>
      <c r="S128" s="62" t="s">
        <v>396</v>
      </c>
      <c r="T128" s="4" t="s">
        <v>32</v>
      </c>
      <c r="U128" s="62" t="s">
        <v>396</v>
      </c>
      <c r="V128" s="10" t="s">
        <v>33</v>
      </c>
      <c r="W128" s="23"/>
      <c r="X128" s="62" t="s">
        <v>396</v>
      </c>
      <c r="Y128" s="4" t="s">
        <v>32</v>
      </c>
      <c r="Z128" s="10" t="str">
        <f>_xlfn.DISPIMG("ID_69342BE5EAE54B50AC7C3F581CCDFD5E",1)</f>
        <v>=DISPIMG("ID_69342BE5EAE54B50AC7C3F581CCDFD5E",1)</v>
      </c>
      <c r="AA128" s="10" t="s">
        <v>34</v>
      </c>
      <c r="AB128" s="10" t="s">
        <v>397</v>
      </c>
      <c r="AC128" s="10"/>
    </row>
    <row r="129" s="2" customFormat="1" ht="49.5" spans="1:29">
      <c r="A129" s="10" t="s">
        <v>29</v>
      </c>
      <c r="B129" s="10" t="s">
        <v>332</v>
      </c>
      <c r="C129" s="28" t="s">
        <v>394</v>
      </c>
      <c r="D129" s="29" t="s">
        <v>395</v>
      </c>
      <c r="E129" s="23"/>
      <c r="F129" s="23"/>
      <c r="G129" s="35"/>
      <c r="H129" s="29"/>
      <c r="I129" s="10"/>
      <c r="J129" s="10"/>
      <c r="K129" s="10"/>
      <c r="L129" s="10"/>
      <c r="M129" s="10"/>
      <c r="N129" s="10"/>
      <c r="O129" s="10"/>
      <c r="P129" s="10"/>
      <c r="Q129" s="10"/>
      <c r="R129" s="10"/>
      <c r="S129" s="62" t="s">
        <v>398</v>
      </c>
      <c r="T129" s="4" t="s">
        <v>32</v>
      </c>
      <c r="U129" s="62" t="s">
        <v>398</v>
      </c>
      <c r="V129" s="10" t="s">
        <v>33</v>
      </c>
      <c r="W129" s="23"/>
      <c r="X129" s="62" t="s">
        <v>398</v>
      </c>
      <c r="Y129" s="4" t="s">
        <v>32</v>
      </c>
      <c r="Z129" s="10" t="str">
        <f>_xlfn.DISPIMG("ID_1833D7D3198E4370896EDBE90CF81119",1)</f>
        <v>=DISPIMG("ID_1833D7D3198E4370896EDBE90CF81119",1)</v>
      </c>
      <c r="AA129" s="10" t="s">
        <v>34</v>
      </c>
      <c r="AB129" s="10" t="s">
        <v>399</v>
      </c>
      <c r="AC129" s="10" t="s">
        <v>400</v>
      </c>
    </row>
    <row r="130" s="2" customFormat="1" ht="49.5" spans="1:29">
      <c r="A130" s="10" t="s">
        <v>29</v>
      </c>
      <c r="B130" s="10" t="s">
        <v>332</v>
      </c>
      <c r="C130" s="28" t="s">
        <v>394</v>
      </c>
      <c r="D130" s="29" t="s">
        <v>401</v>
      </c>
      <c r="E130" s="23"/>
      <c r="F130" s="23"/>
      <c r="G130" s="35"/>
      <c r="H130" s="29" t="s">
        <v>401</v>
      </c>
      <c r="I130" s="10"/>
      <c r="J130" s="10"/>
      <c r="K130" s="10"/>
      <c r="L130" s="10"/>
      <c r="M130" s="10"/>
      <c r="N130" s="10"/>
      <c r="O130" s="10"/>
      <c r="P130" s="10"/>
      <c r="Q130" s="10"/>
      <c r="R130" s="10"/>
      <c r="S130" s="62" t="s">
        <v>402</v>
      </c>
      <c r="T130" s="4" t="s">
        <v>32</v>
      </c>
      <c r="U130" s="62" t="s">
        <v>402</v>
      </c>
      <c r="V130" s="10" t="s">
        <v>33</v>
      </c>
      <c r="W130" s="23"/>
      <c r="X130" s="62" t="s">
        <v>402</v>
      </c>
      <c r="Y130" s="4" t="s">
        <v>32</v>
      </c>
      <c r="Z130" s="10" t="str">
        <f>_xlfn.DISPIMG("ID_20D41A4EE0B14E24A79647A749CF6882",1)</f>
        <v>=DISPIMG("ID_20D41A4EE0B14E24A79647A749CF6882",1)</v>
      </c>
      <c r="AA130" s="10" t="s">
        <v>34</v>
      </c>
      <c r="AB130" s="10" t="s">
        <v>403</v>
      </c>
      <c r="AC130" s="10" t="s">
        <v>400</v>
      </c>
    </row>
    <row r="131" s="2" customFormat="1" ht="49.5" spans="1:29">
      <c r="A131" s="10" t="s">
        <v>29</v>
      </c>
      <c r="B131" s="10" t="s">
        <v>332</v>
      </c>
      <c r="C131" s="28" t="s">
        <v>394</v>
      </c>
      <c r="D131" s="29" t="s">
        <v>401</v>
      </c>
      <c r="E131" s="23"/>
      <c r="F131" s="23"/>
      <c r="G131" s="35"/>
      <c r="H131" s="29"/>
      <c r="I131" s="10"/>
      <c r="J131" s="10"/>
      <c r="K131" s="10"/>
      <c r="L131" s="10"/>
      <c r="M131" s="10"/>
      <c r="N131" s="10"/>
      <c r="O131" s="10"/>
      <c r="P131" s="10"/>
      <c r="Q131" s="10"/>
      <c r="R131" s="10"/>
      <c r="S131" s="62" t="s">
        <v>404</v>
      </c>
      <c r="T131" s="4" t="s">
        <v>32</v>
      </c>
      <c r="U131" s="62" t="s">
        <v>404</v>
      </c>
      <c r="V131" s="10" t="s">
        <v>33</v>
      </c>
      <c r="W131" s="23"/>
      <c r="X131" s="62" t="s">
        <v>404</v>
      </c>
      <c r="Y131" s="4" t="s">
        <v>32</v>
      </c>
      <c r="Z131" s="10" t="str">
        <f>_xlfn.DISPIMG("ID_92D081C532704019B394B84F7BE45BF1",1)</f>
        <v>=DISPIMG("ID_92D081C532704019B394B84F7BE45BF1",1)</v>
      </c>
      <c r="AA131" s="10" t="s">
        <v>34</v>
      </c>
      <c r="AB131" s="10" t="s">
        <v>405</v>
      </c>
      <c r="AC131" s="10" t="s">
        <v>400</v>
      </c>
    </row>
    <row r="132" s="2" customFormat="1" ht="66" spans="1:29">
      <c r="A132" s="10" t="s">
        <v>29</v>
      </c>
      <c r="B132" s="10" t="s">
        <v>332</v>
      </c>
      <c r="C132" s="28" t="s">
        <v>394</v>
      </c>
      <c r="D132" s="29" t="s">
        <v>406</v>
      </c>
      <c r="E132" s="23"/>
      <c r="F132" s="23"/>
      <c r="G132" s="35"/>
      <c r="H132" s="29" t="s">
        <v>406</v>
      </c>
      <c r="I132" s="10"/>
      <c r="J132" s="10"/>
      <c r="K132" s="10"/>
      <c r="L132" s="10"/>
      <c r="M132" s="10"/>
      <c r="N132" s="10"/>
      <c r="O132" s="10"/>
      <c r="P132" s="10"/>
      <c r="Q132" s="10"/>
      <c r="R132" s="10"/>
      <c r="S132" s="62" t="s">
        <v>407</v>
      </c>
      <c r="T132" s="4" t="s">
        <v>32</v>
      </c>
      <c r="U132" s="62" t="s">
        <v>407</v>
      </c>
      <c r="V132" s="10" t="s">
        <v>33</v>
      </c>
      <c r="W132" s="23"/>
      <c r="X132" s="62" t="s">
        <v>407</v>
      </c>
      <c r="Y132" s="4" t="s">
        <v>32</v>
      </c>
      <c r="Z132" s="10" t="str">
        <f>_xlfn.DISPIMG("ID_F23AC45A27AA44B6BCB5628F30B1CA34",1)</f>
        <v>=DISPIMG("ID_F23AC45A27AA44B6BCB5628F30B1CA34",1)</v>
      </c>
      <c r="AA132" s="10" t="s">
        <v>34</v>
      </c>
      <c r="AB132" s="10" t="s">
        <v>408</v>
      </c>
      <c r="AC132" s="10" t="s">
        <v>409</v>
      </c>
    </row>
    <row r="133" s="2" customFormat="1" ht="66" spans="1:29">
      <c r="A133" s="10" t="s">
        <v>29</v>
      </c>
      <c r="B133" s="10" t="s">
        <v>332</v>
      </c>
      <c r="C133" s="28" t="s">
        <v>394</v>
      </c>
      <c r="D133" s="29" t="s">
        <v>406</v>
      </c>
      <c r="E133" s="23"/>
      <c r="F133" s="23"/>
      <c r="G133" s="35"/>
      <c r="H133" s="29"/>
      <c r="I133" s="10"/>
      <c r="J133" s="10"/>
      <c r="K133" s="10"/>
      <c r="L133" s="10"/>
      <c r="M133" s="10"/>
      <c r="N133" s="10"/>
      <c r="O133" s="10"/>
      <c r="P133" s="10"/>
      <c r="Q133" s="10"/>
      <c r="R133" s="10"/>
      <c r="S133" s="62" t="s">
        <v>410</v>
      </c>
      <c r="T133" s="4" t="s">
        <v>32</v>
      </c>
      <c r="U133" s="62" t="s">
        <v>410</v>
      </c>
      <c r="V133" s="10" t="s">
        <v>33</v>
      </c>
      <c r="W133" s="23"/>
      <c r="X133" s="62" t="s">
        <v>410</v>
      </c>
      <c r="Y133" s="4" t="s">
        <v>32</v>
      </c>
      <c r="Z133" s="10" t="str">
        <f>_xlfn.DISPIMG("ID_D8C2DC025CB94D75B054D74EF9B8A496",1)</f>
        <v>=DISPIMG("ID_D8C2DC025CB94D75B054D74EF9B8A496",1)</v>
      </c>
      <c r="AA133" s="10" t="s">
        <v>34</v>
      </c>
      <c r="AB133" s="10" t="s">
        <v>411</v>
      </c>
      <c r="AC133" s="10" t="s">
        <v>409</v>
      </c>
    </row>
    <row r="134" s="2" customFormat="1" ht="49.5" spans="1:29">
      <c r="A134" s="10" t="s">
        <v>29</v>
      </c>
      <c r="B134" s="10" t="s">
        <v>332</v>
      </c>
      <c r="C134" s="28" t="s">
        <v>412</v>
      </c>
      <c r="D134" s="29" t="s">
        <v>136</v>
      </c>
      <c r="E134" s="59"/>
      <c r="F134" s="29"/>
      <c r="G134" s="33"/>
      <c r="H134" s="29" t="s">
        <v>413</v>
      </c>
      <c r="I134" s="10"/>
      <c r="J134" s="10"/>
      <c r="K134" s="10"/>
      <c r="L134" s="10"/>
      <c r="M134" s="10"/>
      <c r="N134" s="10"/>
      <c r="O134" s="10"/>
      <c r="P134" s="10"/>
      <c r="Q134" s="10"/>
      <c r="R134" s="10"/>
      <c r="S134" s="63" t="s">
        <v>414</v>
      </c>
      <c r="T134" s="4" t="s">
        <v>32</v>
      </c>
      <c r="U134" s="63" t="s">
        <v>414</v>
      </c>
      <c r="V134" s="10" t="s">
        <v>33</v>
      </c>
      <c r="W134" s="23"/>
      <c r="X134" s="63" t="s">
        <v>414</v>
      </c>
      <c r="Y134" s="4" t="s">
        <v>32</v>
      </c>
      <c r="Z134" s="10" t="str">
        <f>_xlfn.DISPIMG("ID_2177D36DAB2E4DBDB439777381477C19",1)</f>
        <v>=DISPIMG("ID_2177D36DAB2E4DBDB439777381477C19",1)</v>
      </c>
      <c r="AA134" s="10" t="s">
        <v>34</v>
      </c>
      <c r="AB134" s="10" t="s">
        <v>415</v>
      </c>
      <c r="AC134" s="10"/>
    </row>
    <row r="135" s="2" customFormat="1" ht="116.4" spans="1:29">
      <c r="A135" s="10" t="s">
        <v>29</v>
      </c>
      <c r="B135" s="10" t="s">
        <v>332</v>
      </c>
      <c r="C135" s="28" t="s">
        <v>412</v>
      </c>
      <c r="D135" s="29" t="s">
        <v>136</v>
      </c>
      <c r="E135" s="59"/>
      <c r="F135" s="29"/>
      <c r="G135" s="33"/>
      <c r="H135" s="29"/>
      <c r="I135" s="10"/>
      <c r="J135" s="10"/>
      <c r="K135" s="10"/>
      <c r="L135" s="10"/>
      <c r="M135" s="10"/>
      <c r="N135" s="10"/>
      <c r="O135" s="10"/>
      <c r="P135" s="10"/>
      <c r="Q135" s="10"/>
      <c r="R135" s="10"/>
      <c r="S135" s="63" t="s">
        <v>416</v>
      </c>
      <c r="T135" s="4" t="s">
        <v>32</v>
      </c>
      <c r="U135" s="63" t="s">
        <v>416</v>
      </c>
      <c r="V135" s="10" t="s">
        <v>33</v>
      </c>
      <c r="W135" s="23"/>
      <c r="X135" s="63" t="s">
        <v>416</v>
      </c>
      <c r="Y135" s="4" t="s">
        <v>32</v>
      </c>
      <c r="Z135" s="10" t="str">
        <f>_xlfn.DISPIMG("ID_9109B5C4B0BA4B75A63F0829F679E53D",1)</f>
        <v>=DISPIMG("ID_9109B5C4B0BA4B75A63F0829F679E53D",1)</v>
      </c>
      <c r="AA135" s="10" t="s">
        <v>34</v>
      </c>
      <c r="AB135" s="10" t="s">
        <v>417</v>
      </c>
      <c r="AC135" s="10"/>
    </row>
    <row r="136" s="2" customFormat="1" ht="113.1" spans="1:29">
      <c r="A136" s="10" t="s">
        <v>29</v>
      </c>
      <c r="B136" s="10" t="s">
        <v>332</v>
      </c>
      <c r="C136" s="28" t="s">
        <v>412</v>
      </c>
      <c r="D136" s="29" t="s">
        <v>136</v>
      </c>
      <c r="E136" s="59"/>
      <c r="F136" s="29"/>
      <c r="G136" s="33"/>
      <c r="H136" s="29"/>
      <c r="I136" s="10"/>
      <c r="J136" s="10"/>
      <c r="K136" s="10"/>
      <c r="L136" s="10"/>
      <c r="M136" s="10"/>
      <c r="N136" s="10"/>
      <c r="O136" s="10"/>
      <c r="P136" s="10"/>
      <c r="Q136" s="10"/>
      <c r="R136" s="10"/>
      <c r="S136" s="63" t="s">
        <v>418</v>
      </c>
      <c r="T136" s="4" t="s">
        <v>32</v>
      </c>
      <c r="U136" s="63" t="s">
        <v>418</v>
      </c>
      <c r="V136" s="10" t="s">
        <v>33</v>
      </c>
      <c r="W136" s="23"/>
      <c r="X136" s="63" t="s">
        <v>418</v>
      </c>
      <c r="Y136" s="4" t="s">
        <v>32</v>
      </c>
      <c r="Z136" s="10" t="str">
        <f>_xlfn.DISPIMG("ID_AFF4CC95155142B3822497684BEC69D9",1)</f>
        <v>=DISPIMG("ID_AFF4CC95155142B3822497684BEC69D9",1)</v>
      </c>
      <c r="AA136" s="10" t="s">
        <v>34</v>
      </c>
      <c r="AB136" s="10" t="s">
        <v>419</v>
      </c>
      <c r="AC136" s="10"/>
    </row>
    <row r="137" s="2" customFormat="1" ht="111.45" spans="1:29">
      <c r="A137" s="10" t="s">
        <v>29</v>
      </c>
      <c r="B137" s="10" t="s">
        <v>332</v>
      </c>
      <c r="C137" s="28" t="s">
        <v>412</v>
      </c>
      <c r="D137" s="29" t="s">
        <v>136</v>
      </c>
      <c r="E137" s="59"/>
      <c r="F137" s="28"/>
      <c r="G137" s="37"/>
      <c r="H137" s="28" t="s">
        <v>420</v>
      </c>
      <c r="I137" s="10"/>
      <c r="J137" s="10"/>
      <c r="K137" s="10"/>
      <c r="L137" s="10"/>
      <c r="M137" s="10"/>
      <c r="N137" s="10"/>
      <c r="O137" s="10"/>
      <c r="P137" s="10"/>
      <c r="Q137" s="10"/>
      <c r="R137" s="10"/>
      <c r="S137" s="63" t="s">
        <v>421</v>
      </c>
      <c r="T137" s="4" t="s">
        <v>32</v>
      </c>
      <c r="U137" s="63" t="s">
        <v>421</v>
      </c>
      <c r="V137" s="10" t="s">
        <v>33</v>
      </c>
      <c r="W137" s="23"/>
      <c r="X137" s="63" t="s">
        <v>421</v>
      </c>
      <c r="Y137" s="4" t="s">
        <v>32</v>
      </c>
      <c r="Z137" s="10" t="str">
        <f>_xlfn.DISPIMG("ID_A407F8C4C6434FC38945FBEE3CD0479F",1)</f>
        <v>=DISPIMG("ID_A407F8C4C6434FC38945FBEE3CD0479F",1)</v>
      </c>
      <c r="AA137" s="10" t="s">
        <v>34</v>
      </c>
      <c r="AB137" s="10" t="s">
        <v>422</v>
      </c>
      <c r="AC137" s="10"/>
    </row>
    <row r="138" s="2" customFormat="1" ht="115.45" spans="1:29">
      <c r="A138" s="10" t="s">
        <v>29</v>
      </c>
      <c r="B138" s="10" t="s">
        <v>332</v>
      </c>
      <c r="C138" s="28" t="s">
        <v>412</v>
      </c>
      <c r="D138" s="29" t="s">
        <v>136</v>
      </c>
      <c r="E138" s="59"/>
      <c r="F138" s="28"/>
      <c r="G138" s="37"/>
      <c r="H138" s="28"/>
      <c r="I138" s="10"/>
      <c r="J138" s="10"/>
      <c r="K138" s="10"/>
      <c r="L138" s="10"/>
      <c r="M138" s="10"/>
      <c r="N138" s="10"/>
      <c r="O138" s="10"/>
      <c r="P138" s="10"/>
      <c r="Q138" s="10"/>
      <c r="R138" s="10"/>
      <c r="S138" s="63" t="s">
        <v>423</v>
      </c>
      <c r="T138" s="4" t="s">
        <v>32</v>
      </c>
      <c r="U138" s="63" t="s">
        <v>423</v>
      </c>
      <c r="V138" s="10" t="s">
        <v>33</v>
      </c>
      <c r="W138" s="23"/>
      <c r="X138" s="63" t="s">
        <v>423</v>
      </c>
      <c r="Y138" s="4" t="s">
        <v>32</v>
      </c>
      <c r="Z138" s="10" t="str">
        <f>_xlfn.DISPIMG("ID_4DB724AB6975480F8F8C73F9E17CBF44",1)</f>
        <v>=DISPIMG("ID_4DB724AB6975480F8F8C73F9E17CBF44",1)</v>
      </c>
      <c r="AA138" s="10" t="s">
        <v>34</v>
      </c>
      <c r="AB138" s="10" t="s">
        <v>424</v>
      </c>
      <c r="AC138" s="10"/>
    </row>
    <row r="139" s="2" customFormat="1" ht="60" spans="1:29">
      <c r="A139" s="10" t="s">
        <v>29</v>
      </c>
      <c r="B139" s="10" t="s">
        <v>332</v>
      </c>
      <c r="C139" s="28" t="s">
        <v>412</v>
      </c>
      <c r="D139" s="29" t="s">
        <v>136</v>
      </c>
      <c r="E139" s="59"/>
      <c r="F139" s="28"/>
      <c r="G139" s="37"/>
      <c r="H139" s="28"/>
      <c r="I139" s="10"/>
      <c r="J139" s="10"/>
      <c r="K139" s="10"/>
      <c r="L139" s="10"/>
      <c r="M139" s="10"/>
      <c r="N139" s="10"/>
      <c r="O139" s="10"/>
      <c r="P139" s="10"/>
      <c r="Q139" s="10"/>
      <c r="R139" s="10"/>
      <c r="S139" s="63" t="s">
        <v>425</v>
      </c>
      <c r="T139" s="4" t="s">
        <v>32</v>
      </c>
      <c r="U139" s="63" t="s">
        <v>425</v>
      </c>
      <c r="V139" s="10" t="s">
        <v>33</v>
      </c>
      <c r="W139" s="23"/>
      <c r="X139" s="63" t="s">
        <v>425</v>
      </c>
      <c r="Y139" s="4" t="s">
        <v>32</v>
      </c>
      <c r="Z139" s="10" t="str">
        <f>_xlfn.DISPIMG("ID_6451C331A0534170AD8A7C8E94CF31CC",1)</f>
        <v>=DISPIMG("ID_6451C331A0534170AD8A7C8E94CF31CC",1)</v>
      </c>
      <c r="AA139" s="10" t="s">
        <v>34</v>
      </c>
      <c r="AB139" s="10" t="s">
        <v>426</v>
      </c>
      <c r="AC139" s="10"/>
    </row>
    <row r="140" s="2" customFormat="1" ht="66" spans="1:29">
      <c r="A140" s="10" t="s">
        <v>29</v>
      </c>
      <c r="B140" s="10" t="s">
        <v>332</v>
      </c>
      <c r="C140" s="28" t="s">
        <v>412</v>
      </c>
      <c r="D140" s="29" t="s">
        <v>136</v>
      </c>
      <c r="E140" s="59"/>
      <c r="F140" s="28"/>
      <c r="G140" s="37"/>
      <c r="H140" s="28"/>
      <c r="I140" s="10"/>
      <c r="J140" s="10"/>
      <c r="K140" s="10"/>
      <c r="L140" s="10"/>
      <c r="M140" s="10"/>
      <c r="N140" s="10"/>
      <c r="O140" s="10"/>
      <c r="P140" s="10"/>
      <c r="Q140" s="10"/>
      <c r="R140" s="10"/>
      <c r="S140" s="63" t="s">
        <v>427</v>
      </c>
      <c r="T140" s="4" t="s">
        <v>32</v>
      </c>
      <c r="U140" s="63" t="s">
        <v>427</v>
      </c>
      <c r="V140" s="10" t="s">
        <v>33</v>
      </c>
      <c r="W140" s="23"/>
      <c r="X140" s="63" t="s">
        <v>427</v>
      </c>
      <c r="Y140" s="4" t="s">
        <v>32</v>
      </c>
      <c r="Z140" s="10" t="str">
        <f>_xlfn.DISPIMG("ID_AC85D0BC9CED44CA9ACFBB26BD9E496C",1)</f>
        <v>=DISPIMG("ID_AC85D0BC9CED44CA9ACFBB26BD9E496C",1)</v>
      </c>
      <c r="AA140" s="10" t="s">
        <v>34</v>
      </c>
      <c r="AB140" s="10" t="s">
        <v>428</v>
      </c>
      <c r="AC140" s="10"/>
    </row>
    <row r="141" s="2" customFormat="1" ht="99" spans="1:29">
      <c r="A141" s="10" t="s">
        <v>29</v>
      </c>
      <c r="B141" s="10" t="s">
        <v>332</v>
      </c>
      <c r="C141" s="28" t="s">
        <v>412</v>
      </c>
      <c r="D141" s="29" t="s">
        <v>136</v>
      </c>
      <c r="E141" s="59"/>
      <c r="F141" s="28"/>
      <c r="G141" s="37"/>
      <c r="H141" s="28"/>
      <c r="I141" s="10"/>
      <c r="J141" s="10"/>
      <c r="K141" s="10"/>
      <c r="L141" s="10"/>
      <c r="M141" s="10"/>
      <c r="N141" s="10"/>
      <c r="O141" s="10"/>
      <c r="P141" s="10"/>
      <c r="Q141" s="10"/>
      <c r="R141" s="10"/>
      <c r="S141" s="63" t="s">
        <v>429</v>
      </c>
      <c r="T141" s="4" t="s">
        <v>68</v>
      </c>
      <c r="U141" s="63" t="s">
        <v>430</v>
      </c>
      <c r="V141" s="10" t="s">
        <v>33</v>
      </c>
      <c r="W141" s="23"/>
      <c r="X141" s="63" t="s">
        <v>429</v>
      </c>
      <c r="Y141" s="4" t="s">
        <v>68</v>
      </c>
      <c r="Z141" s="10" t="str">
        <f>_xlfn.DISPIMG("ID_CD9BDC45BF3A4405A7A94D0FD70E43A3",1)</f>
        <v>=DISPIMG("ID_CD9BDC45BF3A4405A7A94D0FD70E43A3",1)</v>
      </c>
      <c r="AA141" s="10" t="s">
        <v>34</v>
      </c>
      <c r="AB141" s="10" t="s">
        <v>431</v>
      </c>
      <c r="AC141" s="10"/>
    </row>
    <row r="142" s="2" customFormat="1" ht="60" spans="1:29">
      <c r="A142" s="10" t="s">
        <v>29</v>
      </c>
      <c r="B142" s="10" t="s">
        <v>332</v>
      </c>
      <c r="C142" s="28" t="s">
        <v>412</v>
      </c>
      <c r="D142" s="29" t="s">
        <v>136</v>
      </c>
      <c r="E142" s="59"/>
      <c r="F142" s="28"/>
      <c r="G142" s="37"/>
      <c r="H142" s="28"/>
      <c r="I142" s="10"/>
      <c r="J142" s="10"/>
      <c r="K142" s="10"/>
      <c r="L142" s="10"/>
      <c r="M142" s="10"/>
      <c r="N142" s="10"/>
      <c r="O142" s="10"/>
      <c r="P142" s="10"/>
      <c r="Q142" s="10"/>
      <c r="R142" s="10"/>
      <c r="S142" s="63" t="s">
        <v>432</v>
      </c>
      <c r="T142" s="4" t="s">
        <v>32</v>
      </c>
      <c r="U142" s="63" t="s">
        <v>432</v>
      </c>
      <c r="V142" s="10" t="s">
        <v>33</v>
      </c>
      <c r="W142" s="23"/>
      <c r="X142" s="63" t="s">
        <v>432</v>
      </c>
      <c r="Y142" s="4" t="s">
        <v>32</v>
      </c>
      <c r="Z142" s="10" t="str">
        <f>_xlfn.DISPIMG("ID_CE70FAD7E7AC4E22A8ACE0E176ABFFA3",1)</f>
        <v>=DISPIMG("ID_CE70FAD7E7AC4E22A8ACE0E176ABFFA3",1)</v>
      </c>
      <c r="AA142" s="10" t="s">
        <v>34</v>
      </c>
      <c r="AB142" s="10" t="s">
        <v>433</v>
      </c>
      <c r="AC142" s="10"/>
    </row>
    <row r="143" s="2" customFormat="1" ht="60" spans="1:29">
      <c r="A143" s="10" t="s">
        <v>29</v>
      </c>
      <c r="B143" s="10" t="s">
        <v>332</v>
      </c>
      <c r="C143" s="28" t="s">
        <v>412</v>
      </c>
      <c r="D143" s="29" t="s">
        <v>136</v>
      </c>
      <c r="E143" s="59"/>
      <c r="F143" s="28"/>
      <c r="G143" s="37"/>
      <c r="H143" s="28"/>
      <c r="I143" s="10"/>
      <c r="J143" s="10"/>
      <c r="K143" s="10"/>
      <c r="L143" s="10"/>
      <c r="M143" s="10"/>
      <c r="N143" s="10"/>
      <c r="O143" s="10"/>
      <c r="P143" s="10"/>
      <c r="Q143" s="10"/>
      <c r="R143" s="10"/>
      <c r="S143" s="63" t="s">
        <v>434</v>
      </c>
      <c r="T143" s="4" t="s">
        <v>32</v>
      </c>
      <c r="U143" s="63" t="s">
        <v>434</v>
      </c>
      <c r="V143" s="10" t="s">
        <v>33</v>
      </c>
      <c r="W143" s="23"/>
      <c r="X143" s="63" t="s">
        <v>434</v>
      </c>
      <c r="Y143" s="4" t="s">
        <v>32</v>
      </c>
      <c r="Z143" s="10" t="str">
        <f>_xlfn.DISPIMG("ID_8151D5CCF065424E84BACE0D291B6A42",1)</f>
        <v>=DISPIMG("ID_8151D5CCF065424E84BACE0D291B6A42",1)</v>
      </c>
      <c r="AA143" s="10" t="s">
        <v>34</v>
      </c>
      <c r="AB143" s="10" t="s">
        <v>435</v>
      </c>
      <c r="AC143" s="10"/>
    </row>
    <row r="144" s="2" customFormat="1" ht="121.05" spans="1:29">
      <c r="A144" s="10" t="s">
        <v>29</v>
      </c>
      <c r="B144" s="10" t="s">
        <v>332</v>
      </c>
      <c r="C144" s="28" t="s">
        <v>412</v>
      </c>
      <c r="D144" s="29" t="s">
        <v>136</v>
      </c>
      <c r="E144" s="59"/>
      <c r="F144" s="28"/>
      <c r="G144" s="37"/>
      <c r="H144" s="28"/>
      <c r="I144" s="10"/>
      <c r="J144" s="10"/>
      <c r="K144" s="10"/>
      <c r="L144" s="10"/>
      <c r="M144" s="10"/>
      <c r="N144" s="10"/>
      <c r="O144" s="10"/>
      <c r="P144" s="10"/>
      <c r="Q144" s="10"/>
      <c r="R144" s="10"/>
      <c r="S144" s="63" t="s">
        <v>436</v>
      </c>
      <c r="T144" s="4" t="s">
        <v>32</v>
      </c>
      <c r="U144" s="63" t="s">
        <v>436</v>
      </c>
      <c r="V144" s="10" t="s">
        <v>33</v>
      </c>
      <c r="W144" s="23"/>
      <c r="X144" s="63" t="s">
        <v>436</v>
      </c>
      <c r="Y144" s="4" t="s">
        <v>32</v>
      </c>
      <c r="Z144" s="10" t="str">
        <f>_xlfn.DISPIMG("ID_CB1E7FA9C76141FEBBABB79EFAF054FC",1)</f>
        <v>=DISPIMG("ID_CB1E7FA9C76141FEBBABB79EFAF054FC",1)</v>
      </c>
      <c r="AA144" s="10" t="s">
        <v>34</v>
      </c>
      <c r="AB144" s="10" t="s">
        <v>437</v>
      </c>
      <c r="AC144" s="10"/>
    </row>
    <row r="145" s="2" customFormat="1" ht="147.05" spans="1:29">
      <c r="A145" s="10" t="s">
        <v>29</v>
      </c>
      <c r="B145" s="10" t="s">
        <v>332</v>
      </c>
      <c r="C145" s="28" t="s">
        <v>412</v>
      </c>
      <c r="D145" s="29" t="s">
        <v>136</v>
      </c>
      <c r="E145" s="59"/>
      <c r="F145" s="28"/>
      <c r="G145" s="37"/>
      <c r="H145" s="28" t="s">
        <v>438</v>
      </c>
      <c r="I145" s="10"/>
      <c r="J145" s="10"/>
      <c r="K145" s="10"/>
      <c r="L145" s="10"/>
      <c r="M145" s="10"/>
      <c r="N145" s="10"/>
      <c r="O145" s="10"/>
      <c r="P145" s="10"/>
      <c r="Q145" s="10"/>
      <c r="R145" s="10"/>
      <c r="S145" s="63" t="s">
        <v>439</v>
      </c>
      <c r="T145" s="4" t="s">
        <v>68</v>
      </c>
      <c r="U145" s="63" t="s">
        <v>440</v>
      </c>
      <c r="V145" s="10" t="s">
        <v>33</v>
      </c>
      <c r="W145" s="23"/>
      <c r="X145" s="63" t="s">
        <v>439</v>
      </c>
      <c r="Y145" s="4" t="s">
        <v>68</v>
      </c>
      <c r="Z145" s="10" t="str">
        <f>_xlfn.DISPIMG("ID_9878578FB1174B908C3CC2C89F18919F",1)</f>
        <v>=DISPIMG("ID_9878578FB1174B908C3CC2C89F18919F",1)</v>
      </c>
      <c r="AA145" s="10" t="s">
        <v>34</v>
      </c>
      <c r="AB145" s="10" t="s">
        <v>441</v>
      </c>
      <c r="AC145" s="10"/>
    </row>
    <row r="146" s="2" customFormat="1" ht="91.8" spans="1:29">
      <c r="A146" s="10" t="s">
        <v>29</v>
      </c>
      <c r="B146" s="10" t="s">
        <v>332</v>
      </c>
      <c r="C146" s="28" t="s">
        <v>412</v>
      </c>
      <c r="D146" s="29" t="s">
        <v>136</v>
      </c>
      <c r="E146" s="59"/>
      <c r="F146" s="28"/>
      <c r="G146" s="37"/>
      <c r="H146" s="28"/>
      <c r="I146" s="10"/>
      <c r="J146" s="10"/>
      <c r="K146" s="10"/>
      <c r="L146" s="10"/>
      <c r="M146" s="10"/>
      <c r="N146" s="10"/>
      <c r="O146" s="10"/>
      <c r="P146" s="10"/>
      <c r="Q146" s="10"/>
      <c r="R146" s="10"/>
      <c r="S146" s="63" t="s">
        <v>442</v>
      </c>
      <c r="T146" s="4" t="s">
        <v>68</v>
      </c>
      <c r="U146" s="63" t="s">
        <v>443</v>
      </c>
      <c r="V146" s="10" t="s">
        <v>33</v>
      </c>
      <c r="W146" s="23"/>
      <c r="X146" s="63" t="s">
        <v>442</v>
      </c>
      <c r="Y146" s="4" t="s">
        <v>68</v>
      </c>
      <c r="Z146" s="10" t="str">
        <f>_xlfn.DISPIMG("ID_75F91EC129644C9D9758462EE0C655F6",1)</f>
        <v>=DISPIMG("ID_75F91EC129644C9D9758462EE0C655F6",1)</v>
      </c>
      <c r="AA146" s="10" t="s">
        <v>34</v>
      </c>
      <c r="AB146" s="10" t="s">
        <v>444</v>
      </c>
      <c r="AC146" s="10"/>
    </row>
    <row r="147" s="2" customFormat="1" ht="221.55" spans="1:31">
      <c r="A147" s="10" t="s">
        <v>29</v>
      </c>
      <c r="B147" s="10" t="s">
        <v>332</v>
      </c>
      <c r="C147" s="28" t="s">
        <v>412</v>
      </c>
      <c r="D147" s="29" t="s">
        <v>136</v>
      </c>
      <c r="E147" s="59"/>
      <c r="F147" s="28"/>
      <c r="G147" s="37"/>
      <c r="H147" s="29" t="s">
        <v>445</v>
      </c>
      <c r="I147" s="10"/>
      <c r="J147" s="10"/>
      <c r="K147" s="10"/>
      <c r="L147" s="10"/>
      <c r="M147" s="10"/>
      <c r="N147" s="10"/>
      <c r="O147" s="10"/>
      <c r="P147" s="10"/>
      <c r="Q147" s="10"/>
      <c r="R147" s="10"/>
      <c r="S147" s="63" t="s">
        <v>446</v>
      </c>
      <c r="T147" s="4" t="s">
        <v>68</v>
      </c>
      <c r="U147" s="63" t="s">
        <v>447</v>
      </c>
      <c r="V147" s="10" t="s">
        <v>33</v>
      </c>
      <c r="W147" s="23"/>
      <c r="X147" s="63" t="s">
        <v>448</v>
      </c>
      <c r="Y147" s="4" t="s">
        <v>68</v>
      </c>
      <c r="Z147" s="10" t="str">
        <f>_xlfn.DISPIMG("ID_EB5C83E3F28F42C081974DCC8038D158",1)</f>
        <v>=DISPIMG("ID_EB5C83E3F28F42C081974DCC8038D158",1)</v>
      </c>
      <c r="AA147" s="10" t="s">
        <v>449</v>
      </c>
      <c r="AB147" s="10" t="s">
        <v>450</v>
      </c>
      <c r="AC147" s="10" t="s">
        <v>451</v>
      </c>
      <c r="AD147" s="2" t="str">
        <f>_xlfn.DISPIMG("ID_6EF2C11E7D4549848034D6C269B1496C",1)</f>
        <v>=DISPIMG("ID_6EF2C11E7D4549848034D6C269B1496C",1)</v>
      </c>
      <c r="AE147" s="2" t="str">
        <f>_xlfn.DISPIMG("ID_3823C852630C45D48F859A7C07C8AA4A",1)</f>
        <v>=DISPIMG("ID_3823C852630C45D48F859A7C07C8AA4A",1)</v>
      </c>
    </row>
    <row r="148" s="2" customFormat="1" ht="125.25" spans="1:29">
      <c r="A148" s="10" t="s">
        <v>29</v>
      </c>
      <c r="B148" s="10" t="s">
        <v>332</v>
      </c>
      <c r="C148" s="28" t="s">
        <v>412</v>
      </c>
      <c r="D148" s="29" t="s">
        <v>136</v>
      </c>
      <c r="E148" s="59"/>
      <c r="F148" s="28"/>
      <c r="G148" s="37"/>
      <c r="H148" s="29"/>
      <c r="I148" s="10"/>
      <c r="J148" s="10"/>
      <c r="K148" s="10"/>
      <c r="L148" s="10"/>
      <c r="M148" s="10"/>
      <c r="N148" s="10"/>
      <c r="O148" s="10"/>
      <c r="P148" s="10"/>
      <c r="Q148" s="10"/>
      <c r="R148" s="10"/>
      <c r="S148" s="63" t="s">
        <v>452</v>
      </c>
      <c r="T148" s="4" t="s">
        <v>32</v>
      </c>
      <c r="U148" s="63" t="s">
        <v>452</v>
      </c>
      <c r="V148" s="10" t="s">
        <v>33</v>
      </c>
      <c r="W148" s="23"/>
      <c r="X148" s="63" t="s">
        <v>452</v>
      </c>
      <c r="Y148" s="4" t="s">
        <v>32</v>
      </c>
      <c r="Z148" s="10" t="str">
        <f>_xlfn.DISPIMG("ID_4E3C89467F90491A9AB3CB2912887648",1)</f>
        <v>=DISPIMG("ID_4E3C89467F90491A9AB3CB2912887648",1)</v>
      </c>
      <c r="AA148" s="10" t="s">
        <v>34</v>
      </c>
      <c r="AB148" s="10" t="s">
        <v>453</v>
      </c>
      <c r="AC148" s="10"/>
    </row>
    <row r="149" s="2" customFormat="1" ht="101.7" spans="1:29">
      <c r="A149" s="10" t="s">
        <v>29</v>
      </c>
      <c r="B149" s="10" t="s">
        <v>332</v>
      </c>
      <c r="C149" s="28" t="s">
        <v>412</v>
      </c>
      <c r="D149" s="29" t="s">
        <v>136</v>
      </c>
      <c r="E149" s="59"/>
      <c r="F149" s="28"/>
      <c r="G149" s="37"/>
      <c r="H149" s="29"/>
      <c r="I149" s="10"/>
      <c r="J149" s="10"/>
      <c r="K149" s="10"/>
      <c r="L149" s="10"/>
      <c r="M149" s="10"/>
      <c r="N149" s="10"/>
      <c r="O149" s="10"/>
      <c r="P149" s="10"/>
      <c r="Q149" s="10"/>
      <c r="R149" s="10"/>
      <c r="S149" s="63" t="s">
        <v>454</v>
      </c>
      <c r="T149" s="4" t="s">
        <v>58</v>
      </c>
      <c r="U149" s="63" t="s">
        <v>454</v>
      </c>
      <c r="V149" s="10" t="s">
        <v>33</v>
      </c>
      <c r="W149" s="23"/>
      <c r="X149" s="63" t="s">
        <v>454</v>
      </c>
      <c r="Y149" s="4" t="s">
        <v>58</v>
      </c>
      <c r="Z149" s="10" t="str">
        <f>_xlfn.DISPIMG("ID_C3631B3B50034E29A077DEF06B6B8543",1)</f>
        <v>=DISPIMG("ID_C3631B3B50034E29A077DEF06B6B8543",1)</v>
      </c>
      <c r="AA149" s="10" t="s">
        <v>34</v>
      </c>
      <c r="AB149" s="10" t="s">
        <v>455</v>
      </c>
      <c r="AC149" s="10"/>
    </row>
    <row r="150" s="2" customFormat="1" ht="148.5" spans="1:29">
      <c r="A150" s="10" t="s">
        <v>29</v>
      </c>
      <c r="B150" s="10" t="s">
        <v>332</v>
      </c>
      <c r="C150" s="28" t="s">
        <v>412</v>
      </c>
      <c r="D150" s="29" t="s">
        <v>136</v>
      </c>
      <c r="E150" s="59"/>
      <c r="F150" s="28"/>
      <c r="G150" s="37"/>
      <c r="H150" s="29"/>
      <c r="I150" s="10"/>
      <c r="J150" s="10"/>
      <c r="K150" s="10"/>
      <c r="L150" s="10"/>
      <c r="M150" s="10"/>
      <c r="N150" s="10"/>
      <c r="O150" s="10"/>
      <c r="P150" s="10"/>
      <c r="Q150" s="10"/>
      <c r="R150" s="10"/>
      <c r="S150" s="63" t="s">
        <v>456</v>
      </c>
      <c r="T150" s="4" t="s">
        <v>68</v>
      </c>
      <c r="U150" s="63" t="s">
        <v>457</v>
      </c>
      <c r="V150" s="10" t="s">
        <v>33</v>
      </c>
      <c r="W150" s="23"/>
      <c r="X150" s="63" t="s">
        <v>456</v>
      </c>
      <c r="Y150" s="4" t="s">
        <v>68</v>
      </c>
      <c r="Z150" s="10" t="str">
        <f>_xlfn.DISPIMG("ID_1E93E0A0EF32418FA934BBD52672C094",1)</f>
        <v>=DISPIMG("ID_1E93E0A0EF32418FA934BBD52672C094",1)</v>
      </c>
      <c r="AA150" s="10" t="s">
        <v>34</v>
      </c>
      <c r="AB150" s="10" t="s">
        <v>458</v>
      </c>
      <c r="AC150" s="10"/>
    </row>
    <row r="151" s="2" customFormat="1" ht="148.5" spans="1:29">
      <c r="A151" s="10" t="s">
        <v>29</v>
      </c>
      <c r="B151" s="10" t="s">
        <v>332</v>
      </c>
      <c r="C151" s="28" t="s">
        <v>412</v>
      </c>
      <c r="D151" s="29" t="s">
        <v>136</v>
      </c>
      <c r="E151" s="59"/>
      <c r="F151" s="28"/>
      <c r="G151" s="37"/>
      <c r="H151" s="29"/>
      <c r="I151" s="10"/>
      <c r="J151" s="10"/>
      <c r="K151" s="10"/>
      <c r="L151" s="10"/>
      <c r="M151" s="10"/>
      <c r="N151" s="10"/>
      <c r="O151" s="10"/>
      <c r="P151" s="10"/>
      <c r="Q151" s="10"/>
      <c r="R151" s="10"/>
      <c r="S151" s="63" t="s">
        <v>459</v>
      </c>
      <c r="T151" s="4" t="s">
        <v>68</v>
      </c>
      <c r="U151" s="63" t="s">
        <v>460</v>
      </c>
      <c r="V151" s="10" t="s">
        <v>33</v>
      </c>
      <c r="W151" s="23"/>
      <c r="X151" s="63" t="s">
        <v>459</v>
      </c>
      <c r="Y151" s="4" t="s">
        <v>68</v>
      </c>
      <c r="Z151" s="10" t="str">
        <f>_xlfn.DISPIMG("ID_C4C8D65D470042B6B990F1360AC849E6",1)</f>
        <v>=DISPIMG("ID_C4C8D65D470042B6B990F1360AC849E6",1)</v>
      </c>
      <c r="AA151" s="10" t="s">
        <v>34</v>
      </c>
      <c r="AB151" s="10" t="s">
        <v>461</v>
      </c>
      <c r="AC151" s="10"/>
    </row>
    <row r="152" s="2" customFormat="1" ht="148.5" spans="1:29">
      <c r="A152" s="10" t="s">
        <v>29</v>
      </c>
      <c r="B152" s="10" t="s">
        <v>332</v>
      </c>
      <c r="C152" s="28" t="s">
        <v>412</v>
      </c>
      <c r="D152" s="29" t="s">
        <v>136</v>
      </c>
      <c r="E152" s="59"/>
      <c r="F152" s="28"/>
      <c r="G152" s="37"/>
      <c r="H152" s="29"/>
      <c r="I152" s="10"/>
      <c r="J152" s="10"/>
      <c r="K152" s="10"/>
      <c r="L152" s="10"/>
      <c r="M152" s="10"/>
      <c r="N152" s="10"/>
      <c r="O152" s="10"/>
      <c r="P152" s="10"/>
      <c r="Q152" s="10"/>
      <c r="R152" s="10"/>
      <c r="S152" s="63" t="s">
        <v>462</v>
      </c>
      <c r="T152" s="4" t="s">
        <v>68</v>
      </c>
      <c r="U152" s="63" t="s">
        <v>460</v>
      </c>
      <c r="V152" s="10" t="s">
        <v>33</v>
      </c>
      <c r="W152" s="23"/>
      <c r="X152" s="63" t="s">
        <v>462</v>
      </c>
      <c r="Y152" s="4" t="s">
        <v>68</v>
      </c>
      <c r="Z152" s="10" t="str">
        <f>_xlfn.DISPIMG("ID_0B43EEC009784D97A82836A3F3DC3996",1)</f>
        <v>=DISPIMG("ID_0B43EEC009784D97A82836A3F3DC3996",1)</v>
      </c>
      <c r="AA152" s="10" t="s">
        <v>34</v>
      </c>
      <c r="AB152" s="10" t="s">
        <v>463</v>
      </c>
      <c r="AC152" s="10"/>
    </row>
    <row r="153" s="2" customFormat="1" ht="148.5" spans="1:29">
      <c r="A153" s="10" t="s">
        <v>29</v>
      </c>
      <c r="B153" s="10" t="s">
        <v>332</v>
      </c>
      <c r="C153" s="28" t="s">
        <v>412</v>
      </c>
      <c r="D153" s="29" t="s">
        <v>136</v>
      </c>
      <c r="E153" s="59"/>
      <c r="F153" s="28"/>
      <c r="G153" s="37"/>
      <c r="H153" s="29"/>
      <c r="I153" s="10"/>
      <c r="J153" s="10"/>
      <c r="K153" s="10"/>
      <c r="L153" s="10"/>
      <c r="M153" s="10"/>
      <c r="N153" s="10"/>
      <c r="O153" s="10"/>
      <c r="P153" s="10"/>
      <c r="Q153" s="10"/>
      <c r="R153" s="10"/>
      <c r="S153" s="63" t="s">
        <v>464</v>
      </c>
      <c r="T153" s="4" t="s">
        <v>68</v>
      </c>
      <c r="U153" s="63" t="s">
        <v>460</v>
      </c>
      <c r="V153" s="10" t="s">
        <v>33</v>
      </c>
      <c r="W153" s="23"/>
      <c r="X153" s="63" t="s">
        <v>464</v>
      </c>
      <c r="Y153" s="4" t="s">
        <v>68</v>
      </c>
      <c r="Z153" s="10" t="str">
        <f>_xlfn.DISPIMG("ID_898C036DEBA54DD59CFCD5293F3C3C28",1)</f>
        <v>=DISPIMG("ID_898C036DEBA54DD59CFCD5293F3C3C28",1)</v>
      </c>
      <c r="AA153" s="10" t="s">
        <v>34</v>
      </c>
      <c r="AB153" s="10" t="s">
        <v>465</v>
      </c>
      <c r="AC153" s="10"/>
    </row>
    <row r="154" s="2" customFormat="1" ht="148.5" spans="1:29">
      <c r="A154" s="10" t="s">
        <v>29</v>
      </c>
      <c r="B154" s="10" t="s">
        <v>332</v>
      </c>
      <c r="C154" s="28" t="s">
        <v>412</v>
      </c>
      <c r="D154" s="29" t="s">
        <v>136</v>
      </c>
      <c r="E154" s="59"/>
      <c r="F154" s="28"/>
      <c r="G154" s="37"/>
      <c r="H154" s="29"/>
      <c r="I154" s="10"/>
      <c r="J154" s="10"/>
      <c r="K154" s="10"/>
      <c r="L154" s="10"/>
      <c r="M154" s="10"/>
      <c r="N154" s="10"/>
      <c r="O154" s="10"/>
      <c r="P154" s="10"/>
      <c r="Q154" s="10"/>
      <c r="R154" s="10"/>
      <c r="S154" s="63" t="s">
        <v>466</v>
      </c>
      <c r="T154" s="4" t="s">
        <v>68</v>
      </c>
      <c r="U154" s="63" t="s">
        <v>460</v>
      </c>
      <c r="V154" s="10" t="s">
        <v>33</v>
      </c>
      <c r="W154" s="23"/>
      <c r="X154" s="63" t="s">
        <v>466</v>
      </c>
      <c r="Y154" s="4" t="s">
        <v>68</v>
      </c>
      <c r="Z154" s="10" t="str">
        <f>_xlfn.DISPIMG("ID_A9E22658435F458289D0A6F2F98FA7B2",1)</f>
        <v>=DISPIMG("ID_A9E22658435F458289D0A6F2F98FA7B2",1)</v>
      </c>
      <c r="AA154" s="10" t="s">
        <v>34</v>
      </c>
      <c r="AB154" s="10" t="s">
        <v>467</v>
      </c>
      <c r="AC154" s="10"/>
    </row>
    <row r="155" s="2" customFormat="1" ht="148.5" spans="1:29">
      <c r="A155" s="10" t="s">
        <v>29</v>
      </c>
      <c r="B155" s="10" t="s">
        <v>332</v>
      </c>
      <c r="C155" s="28" t="s">
        <v>412</v>
      </c>
      <c r="D155" s="29" t="s">
        <v>136</v>
      </c>
      <c r="E155" s="59"/>
      <c r="F155" s="28"/>
      <c r="G155" s="37"/>
      <c r="H155" s="29"/>
      <c r="I155" s="10"/>
      <c r="J155" s="10"/>
      <c r="K155" s="10"/>
      <c r="L155" s="10"/>
      <c r="M155" s="10"/>
      <c r="N155" s="10"/>
      <c r="O155" s="10"/>
      <c r="P155" s="10"/>
      <c r="Q155" s="10"/>
      <c r="R155" s="10"/>
      <c r="S155" s="63" t="s">
        <v>468</v>
      </c>
      <c r="T155" s="4" t="s">
        <v>68</v>
      </c>
      <c r="U155" s="63" t="s">
        <v>460</v>
      </c>
      <c r="V155" s="10" t="s">
        <v>33</v>
      </c>
      <c r="W155" s="23"/>
      <c r="X155" s="63" t="s">
        <v>468</v>
      </c>
      <c r="Y155" s="4" t="s">
        <v>68</v>
      </c>
      <c r="Z155" s="10" t="str">
        <f>_xlfn.DISPIMG("ID_7AB7D869959A4C4F835BE2D9048BD910",1)</f>
        <v>=DISPIMG("ID_7AB7D869959A4C4F835BE2D9048BD910",1)</v>
      </c>
      <c r="AA155" s="10" t="s">
        <v>34</v>
      </c>
      <c r="AB155" s="10" t="s">
        <v>469</v>
      </c>
      <c r="AC155" s="10"/>
    </row>
    <row r="156" s="2" customFormat="1" ht="122.75" spans="1:29">
      <c r="A156" s="10" t="s">
        <v>29</v>
      </c>
      <c r="B156" s="10" t="s">
        <v>332</v>
      </c>
      <c r="C156" s="28" t="s">
        <v>412</v>
      </c>
      <c r="D156" s="29" t="s">
        <v>136</v>
      </c>
      <c r="E156" s="59"/>
      <c r="F156" s="28"/>
      <c r="G156" s="37"/>
      <c r="H156" s="29"/>
      <c r="I156" s="10"/>
      <c r="J156" s="10"/>
      <c r="K156" s="10"/>
      <c r="L156" s="10"/>
      <c r="M156" s="10"/>
      <c r="N156" s="10"/>
      <c r="O156" s="10"/>
      <c r="P156" s="10"/>
      <c r="Q156" s="10"/>
      <c r="R156" s="10"/>
      <c r="S156" s="63" t="s">
        <v>470</v>
      </c>
      <c r="T156" s="4" t="s">
        <v>32</v>
      </c>
      <c r="U156" s="63" t="s">
        <v>470</v>
      </c>
      <c r="V156" s="10" t="s">
        <v>33</v>
      </c>
      <c r="W156" s="23"/>
      <c r="X156" s="63" t="s">
        <v>470</v>
      </c>
      <c r="Y156" s="4" t="s">
        <v>32</v>
      </c>
      <c r="Z156" s="10" t="str">
        <f>_xlfn.DISPIMG("ID_5C89A3198BF64400B63C13B5A4E7784D",1)</f>
        <v>=DISPIMG("ID_5C89A3198BF64400B63C13B5A4E7784D",1)</v>
      </c>
      <c r="AA156" s="10" t="s">
        <v>34</v>
      </c>
      <c r="AB156" s="10" t="s">
        <v>471</v>
      </c>
      <c r="AC156" s="10"/>
    </row>
    <row r="157" s="2" customFormat="1" ht="123.15" spans="1:29">
      <c r="A157" s="10" t="s">
        <v>29</v>
      </c>
      <c r="B157" s="10" t="s">
        <v>332</v>
      </c>
      <c r="C157" s="28" t="s">
        <v>412</v>
      </c>
      <c r="D157" s="29" t="s">
        <v>136</v>
      </c>
      <c r="E157" s="59"/>
      <c r="F157" s="28"/>
      <c r="G157" s="37"/>
      <c r="H157" s="29"/>
      <c r="I157" s="10"/>
      <c r="J157" s="10"/>
      <c r="K157" s="10"/>
      <c r="L157" s="10"/>
      <c r="M157" s="10"/>
      <c r="N157" s="10"/>
      <c r="O157" s="10"/>
      <c r="P157" s="10"/>
      <c r="Q157" s="10"/>
      <c r="R157" s="10"/>
      <c r="S157" s="63" t="s">
        <v>472</v>
      </c>
      <c r="T157" s="4" t="s">
        <v>32</v>
      </c>
      <c r="U157" s="63" t="s">
        <v>472</v>
      </c>
      <c r="V157" s="10" t="s">
        <v>33</v>
      </c>
      <c r="W157" s="23"/>
      <c r="X157" s="63" t="s">
        <v>472</v>
      </c>
      <c r="Y157" s="4" t="s">
        <v>32</v>
      </c>
      <c r="Z157" s="10" t="str">
        <f>_xlfn.DISPIMG("ID_F7C79943243C4C8D88C474B31967A662",1)</f>
        <v>=DISPIMG("ID_F7C79943243C4C8D88C474B31967A662",1)</v>
      </c>
      <c r="AA157" s="10" t="s">
        <v>34</v>
      </c>
      <c r="AB157" s="10" t="s">
        <v>473</v>
      </c>
      <c r="AC157" s="10"/>
    </row>
    <row r="158" s="2" customFormat="1" ht="102.85" spans="1:29">
      <c r="A158" s="10" t="s">
        <v>29</v>
      </c>
      <c r="B158" s="10" t="s">
        <v>332</v>
      </c>
      <c r="C158" s="28" t="s">
        <v>412</v>
      </c>
      <c r="D158" s="29" t="s">
        <v>136</v>
      </c>
      <c r="E158" s="59"/>
      <c r="F158" s="28"/>
      <c r="G158" s="37"/>
      <c r="H158" s="29"/>
      <c r="I158" s="10"/>
      <c r="J158" s="10"/>
      <c r="K158" s="10"/>
      <c r="L158" s="10"/>
      <c r="M158" s="10"/>
      <c r="N158" s="10"/>
      <c r="O158" s="10"/>
      <c r="P158" s="10"/>
      <c r="Q158" s="10"/>
      <c r="R158" s="10"/>
      <c r="S158" s="63" t="s">
        <v>474</v>
      </c>
      <c r="T158" s="4" t="s">
        <v>58</v>
      </c>
      <c r="U158" s="63" t="s">
        <v>474</v>
      </c>
      <c r="V158" s="10" t="s">
        <v>33</v>
      </c>
      <c r="W158" s="23"/>
      <c r="X158" s="63" t="s">
        <v>474</v>
      </c>
      <c r="Y158" s="4" t="s">
        <v>58</v>
      </c>
      <c r="Z158" s="10" t="str">
        <f>_xlfn.DISPIMG("ID_A39812796E8146BAA0F475C22E3D0450",1)</f>
        <v>=DISPIMG("ID_A39812796E8146BAA0F475C22E3D0450",1)</v>
      </c>
      <c r="AA158" s="10" t="s">
        <v>34</v>
      </c>
      <c r="AB158" s="10" t="s">
        <v>475</v>
      </c>
      <c r="AC158" s="10"/>
    </row>
    <row r="159" s="2" customFormat="1" ht="124.45" spans="1:29">
      <c r="A159" s="10" t="s">
        <v>29</v>
      </c>
      <c r="B159" s="10" t="s">
        <v>332</v>
      </c>
      <c r="C159" s="28" t="s">
        <v>412</v>
      </c>
      <c r="D159" s="29" t="s">
        <v>136</v>
      </c>
      <c r="E159" s="59"/>
      <c r="F159" s="28"/>
      <c r="G159" s="33"/>
      <c r="H159" s="29"/>
      <c r="I159" s="10"/>
      <c r="J159" s="10"/>
      <c r="K159" s="10"/>
      <c r="L159" s="10"/>
      <c r="M159" s="10"/>
      <c r="N159" s="10"/>
      <c r="O159" s="10"/>
      <c r="P159" s="10"/>
      <c r="Q159" s="10"/>
      <c r="R159" s="10"/>
      <c r="S159" s="63" t="s">
        <v>476</v>
      </c>
      <c r="T159" s="4" t="s">
        <v>32</v>
      </c>
      <c r="U159" s="63" t="s">
        <v>476</v>
      </c>
      <c r="V159" s="10" t="s">
        <v>33</v>
      </c>
      <c r="W159" s="23"/>
      <c r="X159" s="63" t="s">
        <v>476</v>
      </c>
      <c r="Y159" s="4" t="s">
        <v>32</v>
      </c>
      <c r="Z159" s="10" t="str">
        <f>_xlfn.DISPIMG("ID_828BC0F5B1EC4707B953BE29D2BED996",1)</f>
        <v>=DISPIMG("ID_828BC0F5B1EC4707B953BE29D2BED996",1)</v>
      </c>
      <c r="AA159" s="10" t="s">
        <v>34</v>
      </c>
      <c r="AB159" s="10" t="s">
        <v>477</v>
      </c>
      <c r="AC159" s="10"/>
    </row>
    <row r="160" s="2" customFormat="1" ht="60.95" spans="1:29">
      <c r="A160" s="10" t="s">
        <v>29</v>
      </c>
      <c r="B160" s="10" t="s">
        <v>332</v>
      </c>
      <c r="C160" s="28" t="s">
        <v>412</v>
      </c>
      <c r="D160" s="29" t="s">
        <v>136</v>
      </c>
      <c r="E160" s="59"/>
      <c r="F160" s="28"/>
      <c r="G160" s="33"/>
      <c r="H160" s="29"/>
      <c r="I160" s="10"/>
      <c r="J160" s="10"/>
      <c r="K160" s="10"/>
      <c r="L160" s="10"/>
      <c r="M160" s="10"/>
      <c r="N160" s="10"/>
      <c r="O160" s="10"/>
      <c r="P160" s="10"/>
      <c r="Q160" s="10"/>
      <c r="R160" s="10"/>
      <c r="S160" s="63" t="s">
        <v>478</v>
      </c>
      <c r="T160" s="4" t="s">
        <v>68</v>
      </c>
      <c r="U160" s="63" t="s">
        <v>479</v>
      </c>
      <c r="V160" s="10" t="s">
        <v>33</v>
      </c>
      <c r="W160" s="23"/>
      <c r="X160" s="63" t="s">
        <v>478</v>
      </c>
      <c r="Y160" s="4" t="s">
        <v>68</v>
      </c>
      <c r="Z160" s="10" t="str">
        <f>_xlfn.DISPIMG("ID_B466CD58A0CC4B4E94B0E5E8608F73FD",1)</f>
        <v>=DISPIMG("ID_B466CD58A0CC4B4E94B0E5E8608F73FD",1)</v>
      </c>
      <c r="AA160" s="10" t="s">
        <v>34</v>
      </c>
      <c r="AB160" s="10" t="s">
        <v>480</v>
      </c>
      <c r="AC160" s="10"/>
    </row>
    <row r="161" s="2" customFormat="1" ht="124.65" spans="1:29">
      <c r="A161" s="10" t="s">
        <v>29</v>
      </c>
      <c r="B161" s="10" t="s">
        <v>332</v>
      </c>
      <c r="C161" s="28" t="s">
        <v>412</v>
      </c>
      <c r="D161" s="29" t="s">
        <v>136</v>
      </c>
      <c r="E161" s="59"/>
      <c r="F161" s="28"/>
      <c r="G161" s="33"/>
      <c r="H161" s="29"/>
      <c r="I161" s="10"/>
      <c r="J161" s="10"/>
      <c r="K161" s="10"/>
      <c r="L161" s="10"/>
      <c r="M161" s="10"/>
      <c r="N161" s="10"/>
      <c r="O161" s="10"/>
      <c r="P161" s="10"/>
      <c r="Q161" s="10"/>
      <c r="R161" s="10"/>
      <c r="S161" s="63" t="s">
        <v>481</v>
      </c>
      <c r="T161" s="4" t="s">
        <v>32</v>
      </c>
      <c r="U161" s="63" t="s">
        <v>481</v>
      </c>
      <c r="V161" s="10" t="s">
        <v>33</v>
      </c>
      <c r="W161" s="23"/>
      <c r="X161" s="63" t="s">
        <v>481</v>
      </c>
      <c r="Y161" s="4" t="s">
        <v>32</v>
      </c>
      <c r="Z161" s="10" t="str">
        <f>_xlfn.DISPIMG("ID_5ACE71DB50154208B1BA6B83A1B68FFD",1)</f>
        <v>=DISPIMG("ID_5ACE71DB50154208B1BA6B83A1B68FFD",1)</v>
      </c>
      <c r="AA161" s="10" t="s">
        <v>34</v>
      </c>
      <c r="AB161" s="10" t="s">
        <v>482</v>
      </c>
      <c r="AC161" s="10"/>
    </row>
    <row r="162" s="2" customFormat="1" ht="82.5" spans="1:29">
      <c r="A162" s="10" t="s">
        <v>29</v>
      </c>
      <c r="B162" s="10" t="s">
        <v>332</v>
      </c>
      <c r="C162" s="28" t="s">
        <v>412</v>
      </c>
      <c r="D162" s="29" t="s">
        <v>136</v>
      </c>
      <c r="E162" s="59"/>
      <c r="F162" s="28"/>
      <c r="G162" s="33"/>
      <c r="H162" s="29"/>
      <c r="I162" s="10"/>
      <c r="J162" s="10"/>
      <c r="K162" s="10"/>
      <c r="L162" s="10"/>
      <c r="M162" s="10"/>
      <c r="N162" s="10"/>
      <c r="O162" s="10"/>
      <c r="P162" s="10"/>
      <c r="Q162" s="10"/>
      <c r="R162" s="10"/>
      <c r="S162" s="63" t="s">
        <v>483</v>
      </c>
      <c r="T162" s="4" t="s">
        <v>68</v>
      </c>
      <c r="U162" s="63" t="s">
        <v>484</v>
      </c>
      <c r="V162" s="10" t="s">
        <v>33</v>
      </c>
      <c r="W162" s="23"/>
      <c r="X162" s="63" t="s">
        <v>483</v>
      </c>
      <c r="Y162" s="4" t="s">
        <v>68</v>
      </c>
      <c r="Z162" s="10" t="str">
        <f>_xlfn.DISPIMG("ID_DEE1FE53D2CE44B89C54FB74A87C88DB",1)</f>
        <v>=DISPIMG("ID_DEE1FE53D2CE44B89C54FB74A87C88DB",1)</v>
      </c>
      <c r="AA162" s="10" t="s">
        <v>34</v>
      </c>
      <c r="AB162" s="10" t="s">
        <v>485</v>
      </c>
      <c r="AC162" s="10"/>
    </row>
    <row r="163" s="2" customFormat="1" ht="101.7" spans="1:29">
      <c r="A163" s="10" t="s">
        <v>29</v>
      </c>
      <c r="B163" s="10" t="s">
        <v>332</v>
      </c>
      <c r="C163" s="28" t="s">
        <v>412</v>
      </c>
      <c r="D163" s="29" t="s">
        <v>136</v>
      </c>
      <c r="E163" s="59"/>
      <c r="F163" s="28"/>
      <c r="G163" s="33"/>
      <c r="H163" s="29"/>
      <c r="I163" s="10"/>
      <c r="J163" s="10"/>
      <c r="K163" s="10"/>
      <c r="L163" s="10"/>
      <c r="M163" s="10"/>
      <c r="N163" s="10"/>
      <c r="O163" s="10"/>
      <c r="P163" s="10"/>
      <c r="Q163" s="10"/>
      <c r="R163" s="10"/>
      <c r="S163" s="63" t="s">
        <v>486</v>
      </c>
      <c r="T163" s="4" t="s">
        <v>58</v>
      </c>
      <c r="U163" s="63" t="s">
        <v>486</v>
      </c>
      <c r="V163" s="10" t="s">
        <v>33</v>
      </c>
      <c r="W163" s="23"/>
      <c r="X163" s="63" t="s">
        <v>486</v>
      </c>
      <c r="Y163" s="4" t="s">
        <v>58</v>
      </c>
      <c r="Z163" s="10" t="str">
        <f>_xlfn.DISPIMG("ID_5796401BD6834B678A471C4B5904EF29",1)</f>
        <v>=DISPIMG("ID_5796401BD6834B678A471C4B5904EF29",1)</v>
      </c>
      <c r="AA163" s="10" t="s">
        <v>34</v>
      </c>
      <c r="AB163" s="10" t="s">
        <v>487</v>
      </c>
      <c r="AC163" s="10"/>
    </row>
    <row r="164" s="2" customFormat="1" ht="105.9" spans="1:29">
      <c r="A164" s="10" t="s">
        <v>29</v>
      </c>
      <c r="B164" s="10" t="s">
        <v>332</v>
      </c>
      <c r="C164" s="28" t="s">
        <v>412</v>
      </c>
      <c r="D164" s="29" t="s">
        <v>136</v>
      </c>
      <c r="E164" s="59"/>
      <c r="F164" s="28"/>
      <c r="G164" s="33"/>
      <c r="H164" s="29"/>
      <c r="I164" s="10"/>
      <c r="J164" s="10"/>
      <c r="K164" s="10"/>
      <c r="L164" s="10"/>
      <c r="M164" s="10"/>
      <c r="N164" s="10"/>
      <c r="O164" s="10"/>
      <c r="P164" s="10"/>
      <c r="Q164" s="10"/>
      <c r="R164" s="10"/>
      <c r="S164" s="63" t="s">
        <v>488</v>
      </c>
      <c r="T164" s="4" t="s">
        <v>58</v>
      </c>
      <c r="U164" s="63" t="s">
        <v>488</v>
      </c>
      <c r="V164" s="10" t="s">
        <v>33</v>
      </c>
      <c r="W164" s="23"/>
      <c r="X164" s="63" t="s">
        <v>488</v>
      </c>
      <c r="Y164" s="4" t="s">
        <v>58</v>
      </c>
      <c r="Z164" s="10" t="str">
        <f>_xlfn.DISPIMG("ID_E23E831B8BC74916A23CA21675DAD1A9",1)</f>
        <v>=DISPIMG("ID_E23E831B8BC74916A23CA21675DAD1A9",1)</v>
      </c>
      <c r="AA164" s="10" t="s">
        <v>34</v>
      </c>
      <c r="AB164" s="10" t="s">
        <v>489</v>
      </c>
      <c r="AC164" s="10"/>
    </row>
    <row r="165" s="2" customFormat="1" ht="123" spans="1:29">
      <c r="A165" s="10" t="s">
        <v>29</v>
      </c>
      <c r="B165" s="10" t="s">
        <v>332</v>
      </c>
      <c r="C165" s="28" t="s">
        <v>412</v>
      </c>
      <c r="D165" s="29" t="s">
        <v>136</v>
      </c>
      <c r="E165" s="59"/>
      <c r="F165" s="28"/>
      <c r="G165" s="33"/>
      <c r="H165" s="29"/>
      <c r="I165" s="10"/>
      <c r="J165" s="10"/>
      <c r="K165" s="10"/>
      <c r="L165" s="10"/>
      <c r="M165" s="10"/>
      <c r="N165" s="10"/>
      <c r="O165" s="10"/>
      <c r="P165" s="10"/>
      <c r="Q165" s="10"/>
      <c r="R165" s="10"/>
      <c r="S165" s="63" t="s">
        <v>490</v>
      </c>
      <c r="T165" s="4" t="s">
        <v>32</v>
      </c>
      <c r="U165" s="63" t="s">
        <v>490</v>
      </c>
      <c r="V165" s="10" t="s">
        <v>33</v>
      </c>
      <c r="W165" s="23"/>
      <c r="X165" s="63" t="s">
        <v>490</v>
      </c>
      <c r="Y165" s="4" t="s">
        <v>32</v>
      </c>
      <c r="Z165" s="10" t="str">
        <f>_xlfn.DISPIMG("ID_E24B14920C4C40A5BA793053926BB793",1)</f>
        <v>=DISPIMG("ID_E24B14920C4C40A5BA793053926BB793",1)</v>
      </c>
      <c r="AA165" s="10" t="s">
        <v>34</v>
      </c>
      <c r="AB165" s="10" t="s">
        <v>491</v>
      </c>
      <c r="AC165" s="10"/>
    </row>
    <row r="166" s="2" customFormat="1" ht="66" spans="1:29">
      <c r="A166" s="10" t="s">
        <v>29</v>
      </c>
      <c r="B166" s="10" t="s">
        <v>332</v>
      </c>
      <c r="C166" s="28" t="s">
        <v>412</v>
      </c>
      <c r="D166" s="29" t="s">
        <v>136</v>
      </c>
      <c r="E166" s="59"/>
      <c r="F166" s="28"/>
      <c r="G166" s="33"/>
      <c r="H166" s="29"/>
      <c r="I166" s="10"/>
      <c r="J166" s="10"/>
      <c r="K166" s="10"/>
      <c r="L166" s="10"/>
      <c r="M166" s="10"/>
      <c r="N166" s="10"/>
      <c r="O166" s="10"/>
      <c r="P166" s="10"/>
      <c r="Q166" s="10"/>
      <c r="R166" s="10"/>
      <c r="S166" s="63" t="s">
        <v>492</v>
      </c>
      <c r="T166" s="4" t="s">
        <v>68</v>
      </c>
      <c r="U166" s="63" t="s">
        <v>493</v>
      </c>
      <c r="V166" s="10" t="s">
        <v>33</v>
      </c>
      <c r="W166" s="23"/>
      <c r="X166" s="63" t="s">
        <v>492</v>
      </c>
      <c r="Y166" s="4" t="s">
        <v>68</v>
      </c>
      <c r="Z166" s="10" t="str">
        <f>_xlfn.DISPIMG("ID_284DF31270854151AA15A62ADC0B122F",1)</f>
        <v>=DISPIMG("ID_284DF31270854151AA15A62ADC0B122F",1)</v>
      </c>
      <c r="AA166" s="10" t="s">
        <v>34</v>
      </c>
      <c r="AB166" s="10" t="s">
        <v>494</v>
      </c>
      <c r="AC166" s="10"/>
    </row>
    <row r="167" s="2" customFormat="1" ht="49.5" spans="1:29">
      <c r="A167" s="10" t="s">
        <v>29</v>
      </c>
      <c r="B167" s="10" t="s">
        <v>332</v>
      </c>
      <c r="C167" s="28" t="s">
        <v>412</v>
      </c>
      <c r="D167" s="29" t="s">
        <v>136</v>
      </c>
      <c r="E167" s="59"/>
      <c r="F167" s="28"/>
      <c r="G167" s="33"/>
      <c r="H167" s="29"/>
      <c r="I167" s="10"/>
      <c r="J167" s="10"/>
      <c r="K167" s="10"/>
      <c r="L167" s="10"/>
      <c r="M167" s="10"/>
      <c r="N167" s="10"/>
      <c r="O167" s="10"/>
      <c r="P167" s="10"/>
      <c r="Q167" s="10"/>
      <c r="R167" s="10"/>
      <c r="S167" s="63" t="s">
        <v>495</v>
      </c>
      <c r="T167" s="4" t="s">
        <v>32</v>
      </c>
      <c r="U167" s="63" t="s">
        <v>495</v>
      </c>
      <c r="V167" s="10" t="s">
        <v>33</v>
      </c>
      <c r="W167" s="23"/>
      <c r="X167" s="63" t="s">
        <v>495</v>
      </c>
      <c r="Y167" s="4" t="s">
        <v>32</v>
      </c>
      <c r="Z167" s="10" t="str">
        <f>_xlfn.DISPIMG("ID_40EAAD76E6CB447D99DA3A475EDF3D22",1)</f>
        <v>=DISPIMG("ID_40EAAD76E6CB447D99DA3A475EDF3D22",1)</v>
      </c>
      <c r="AA167" s="10" t="s">
        <v>34</v>
      </c>
      <c r="AB167" s="10" t="s">
        <v>496</v>
      </c>
      <c r="AC167" s="10"/>
    </row>
    <row r="168" s="2" customFormat="1" ht="66" spans="1:29">
      <c r="A168" s="10" t="s">
        <v>29</v>
      </c>
      <c r="B168" s="10" t="s">
        <v>332</v>
      </c>
      <c r="C168" s="28" t="s">
        <v>412</v>
      </c>
      <c r="D168" s="29" t="s">
        <v>136</v>
      </c>
      <c r="E168" s="59"/>
      <c r="F168" s="28"/>
      <c r="G168" s="33"/>
      <c r="H168" s="29"/>
      <c r="I168" s="10"/>
      <c r="J168" s="10"/>
      <c r="K168" s="10"/>
      <c r="L168" s="10"/>
      <c r="M168" s="10"/>
      <c r="N168" s="10"/>
      <c r="O168" s="10"/>
      <c r="P168" s="10"/>
      <c r="Q168" s="10"/>
      <c r="R168" s="10"/>
      <c r="S168" s="63" t="s">
        <v>497</v>
      </c>
      <c r="T168" s="4" t="s">
        <v>68</v>
      </c>
      <c r="U168" s="63" t="s">
        <v>498</v>
      </c>
      <c r="V168" s="10" t="s">
        <v>33</v>
      </c>
      <c r="W168" s="23"/>
      <c r="X168" s="63" t="s">
        <v>497</v>
      </c>
      <c r="Y168" s="4" t="s">
        <v>68</v>
      </c>
      <c r="Z168" s="10" t="str">
        <f>_xlfn.DISPIMG("ID_B9E2C376069642B89C0EBBEEF6144647",1)</f>
        <v>=DISPIMG("ID_B9E2C376069642B89C0EBBEEF6144647",1)</v>
      </c>
      <c r="AA168" s="10" t="s">
        <v>34</v>
      </c>
      <c r="AB168" s="10" t="s">
        <v>499</v>
      </c>
      <c r="AC168" s="10"/>
    </row>
    <row r="169" s="2" customFormat="1" ht="49.5" spans="1:29">
      <c r="A169" s="10" t="s">
        <v>29</v>
      </c>
      <c r="B169" s="10" t="s">
        <v>332</v>
      </c>
      <c r="C169" s="28" t="s">
        <v>412</v>
      </c>
      <c r="D169" s="29" t="s">
        <v>136</v>
      </c>
      <c r="E169" s="59"/>
      <c r="F169" s="28"/>
      <c r="G169" s="33"/>
      <c r="H169" s="29"/>
      <c r="I169" s="10"/>
      <c r="J169" s="10"/>
      <c r="K169" s="10"/>
      <c r="L169" s="10"/>
      <c r="M169" s="10"/>
      <c r="N169" s="10"/>
      <c r="O169" s="10"/>
      <c r="P169" s="10"/>
      <c r="Q169" s="10"/>
      <c r="R169" s="10"/>
      <c r="S169" s="63" t="s">
        <v>500</v>
      </c>
      <c r="T169" s="4" t="s">
        <v>32</v>
      </c>
      <c r="U169" s="63" t="s">
        <v>500</v>
      </c>
      <c r="V169" s="10" t="s">
        <v>33</v>
      </c>
      <c r="W169" s="23"/>
      <c r="X169" s="63" t="s">
        <v>500</v>
      </c>
      <c r="Y169" s="4" t="s">
        <v>32</v>
      </c>
      <c r="Z169" s="10" t="str">
        <f>_xlfn.DISPIMG("ID_AAEF28DC40B741F988419A5C605E013C",1)</f>
        <v>=DISPIMG("ID_AAEF28DC40B741F988419A5C605E013C",1)</v>
      </c>
      <c r="AA169" s="10" t="s">
        <v>34</v>
      </c>
      <c r="AB169" s="10" t="s">
        <v>501</v>
      </c>
      <c r="AC169" s="10"/>
    </row>
    <row r="170" s="2" customFormat="1" ht="49.5" spans="1:29">
      <c r="A170" s="10" t="s">
        <v>29</v>
      </c>
      <c r="B170" s="10" t="s">
        <v>332</v>
      </c>
      <c r="C170" s="28" t="s">
        <v>412</v>
      </c>
      <c r="D170" s="29" t="s">
        <v>136</v>
      </c>
      <c r="E170" s="59"/>
      <c r="F170" s="28"/>
      <c r="G170" s="33"/>
      <c r="H170" s="29"/>
      <c r="I170" s="10"/>
      <c r="J170" s="10"/>
      <c r="K170" s="10"/>
      <c r="L170" s="10"/>
      <c r="M170" s="10"/>
      <c r="N170" s="10"/>
      <c r="O170" s="10"/>
      <c r="P170" s="10"/>
      <c r="Q170" s="10"/>
      <c r="R170" s="10"/>
      <c r="S170" s="63" t="s">
        <v>502</v>
      </c>
      <c r="T170" s="4" t="s">
        <v>58</v>
      </c>
      <c r="U170" s="63" t="s">
        <v>502</v>
      </c>
      <c r="V170" s="10" t="s">
        <v>33</v>
      </c>
      <c r="W170" s="23"/>
      <c r="X170" s="63" t="s">
        <v>502</v>
      </c>
      <c r="Y170" s="4" t="s">
        <v>58</v>
      </c>
      <c r="Z170" s="10" t="str">
        <f>_xlfn.DISPIMG("ID_9E1577DA0A8F44BB9AADCB843EA220D5",1)</f>
        <v>=DISPIMG("ID_9E1577DA0A8F44BB9AADCB843EA220D5",1)</v>
      </c>
      <c r="AA170" s="10" t="s">
        <v>34</v>
      </c>
      <c r="AB170" s="10" t="s">
        <v>503</v>
      </c>
      <c r="AC170" s="10"/>
    </row>
    <row r="171" s="2" customFormat="1" ht="82.5" spans="1:29">
      <c r="A171" s="10" t="s">
        <v>29</v>
      </c>
      <c r="B171" s="10" t="s">
        <v>332</v>
      </c>
      <c r="C171" s="28" t="s">
        <v>412</v>
      </c>
      <c r="D171" s="29" t="s">
        <v>136</v>
      </c>
      <c r="E171" s="59"/>
      <c r="F171" s="28"/>
      <c r="G171" s="33"/>
      <c r="H171" s="29"/>
      <c r="I171" s="10"/>
      <c r="J171" s="10"/>
      <c r="K171" s="10"/>
      <c r="L171" s="10"/>
      <c r="M171" s="10"/>
      <c r="N171" s="10"/>
      <c r="O171" s="10"/>
      <c r="P171" s="10"/>
      <c r="Q171" s="10"/>
      <c r="R171" s="10"/>
      <c r="S171" s="63" t="s">
        <v>504</v>
      </c>
      <c r="T171" s="4" t="s">
        <v>68</v>
      </c>
      <c r="U171" s="63" t="s">
        <v>505</v>
      </c>
      <c r="V171" s="10" t="s">
        <v>33</v>
      </c>
      <c r="W171" s="23"/>
      <c r="X171" s="63" t="s">
        <v>504</v>
      </c>
      <c r="Y171" s="4" t="s">
        <v>68</v>
      </c>
      <c r="Z171" s="10" t="str">
        <f>_xlfn.DISPIMG("ID_E23275AE38E44C5EAD7811FD70109985",1)</f>
        <v>=DISPIMG("ID_E23275AE38E44C5EAD7811FD70109985",1)</v>
      </c>
      <c r="AA171" s="10" t="s">
        <v>34</v>
      </c>
      <c r="AB171" s="10" t="s">
        <v>506</v>
      </c>
      <c r="AC171" s="10"/>
    </row>
    <row r="172" s="2" customFormat="1" ht="66" spans="1:29">
      <c r="A172" s="10" t="s">
        <v>29</v>
      </c>
      <c r="B172" s="10" t="s">
        <v>332</v>
      </c>
      <c r="C172" s="28" t="s">
        <v>412</v>
      </c>
      <c r="D172" s="29" t="s">
        <v>136</v>
      </c>
      <c r="E172" s="59"/>
      <c r="F172" s="28"/>
      <c r="G172" s="37"/>
      <c r="H172" s="29"/>
      <c r="I172" s="10"/>
      <c r="J172" s="10"/>
      <c r="K172" s="10"/>
      <c r="L172" s="10"/>
      <c r="M172" s="10"/>
      <c r="N172" s="10"/>
      <c r="O172" s="10"/>
      <c r="P172" s="10"/>
      <c r="Q172" s="10"/>
      <c r="R172" s="10"/>
      <c r="S172" s="63" t="s">
        <v>507</v>
      </c>
      <c r="T172" s="4" t="s">
        <v>32</v>
      </c>
      <c r="U172" s="63" t="s">
        <v>507</v>
      </c>
      <c r="V172" s="10" t="s">
        <v>33</v>
      </c>
      <c r="W172" s="23"/>
      <c r="X172" s="63" t="s">
        <v>507</v>
      </c>
      <c r="Y172" s="4" t="s">
        <v>32</v>
      </c>
      <c r="Z172" s="10" t="str">
        <f>_xlfn.DISPIMG("ID_3862BA2028D14D8E86508667C999AB79",1)</f>
        <v>=DISPIMG("ID_3862BA2028D14D8E86508667C999AB79",1)</v>
      </c>
      <c r="AA172" s="10" t="s">
        <v>34</v>
      </c>
      <c r="AB172" s="10" t="s">
        <v>508</v>
      </c>
      <c r="AC172" s="10"/>
    </row>
    <row r="173" s="2" customFormat="1" ht="66" spans="1:29">
      <c r="A173" s="10" t="s">
        <v>29</v>
      </c>
      <c r="B173" s="10" t="s">
        <v>332</v>
      </c>
      <c r="C173" s="28" t="s">
        <v>412</v>
      </c>
      <c r="D173" s="29" t="s">
        <v>136</v>
      </c>
      <c r="E173" s="59"/>
      <c r="F173" s="28"/>
      <c r="G173" s="37"/>
      <c r="H173" s="29"/>
      <c r="I173" s="10"/>
      <c r="J173" s="10"/>
      <c r="K173" s="10"/>
      <c r="L173" s="10"/>
      <c r="M173" s="10"/>
      <c r="N173" s="10"/>
      <c r="O173" s="10"/>
      <c r="P173" s="10"/>
      <c r="Q173" s="10"/>
      <c r="R173" s="10"/>
      <c r="S173" s="63" t="s">
        <v>509</v>
      </c>
      <c r="T173" s="4" t="s">
        <v>68</v>
      </c>
      <c r="U173" s="63" t="s">
        <v>510</v>
      </c>
      <c r="V173" s="10" t="s">
        <v>33</v>
      </c>
      <c r="W173" s="23"/>
      <c r="X173" s="63" t="s">
        <v>509</v>
      </c>
      <c r="Y173" s="4" t="s">
        <v>68</v>
      </c>
      <c r="Z173" s="10" t="str">
        <f>_xlfn.DISPIMG("ID_5BAB0972D5C341B99EF2F322053779B1",1)</f>
        <v>=DISPIMG("ID_5BAB0972D5C341B99EF2F322053779B1",1)</v>
      </c>
      <c r="AA173" s="10" t="s">
        <v>34</v>
      </c>
      <c r="AB173" s="10" t="s">
        <v>511</v>
      </c>
      <c r="AC173" s="10"/>
    </row>
    <row r="174" s="2" customFormat="1" ht="117.45" spans="1:29">
      <c r="A174" s="10" t="s">
        <v>29</v>
      </c>
      <c r="B174" s="10" t="s">
        <v>332</v>
      </c>
      <c r="C174" s="28" t="s">
        <v>412</v>
      </c>
      <c r="D174" s="29" t="s">
        <v>136</v>
      </c>
      <c r="E174" s="59"/>
      <c r="F174" s="28"/>
      <c r="G174" s="37"/>
      <c r="H174" s="29"/>
      <c r="I174" s="10"/>
      <c r="J174" s="10"/>
      <c r="K174" s="10"/>
      <c r="L174" s="10"/>
      <c r="M174" s="10"/>
      <c r="N174" s="10"/>
      <c r="O174" s="10"/>
      <c r="P174" s="10"/>
      <c r="Q174" s="10"/>
      <c r="R174" s="10"/>
      <c r="S174" s="63" t="s">
        <v>512</v>
      </c>
      <c r="T174" s="4" t="s">
        <v>58</v>
      </c>
      <c r="U174" s="63" t="s">
        <v>512</v>
      </c>
      <c r="V174" s="10" t="s">
        <v>33</v>
      </c>
      <c r="W174" s="23"/>
      <c r="X174" s="63" t="s">
        <v>512</v>
      </c>
      <c r="Y174" s="4" t="s">
        <v>58</v>
      </c>
      <c r="Z174" s="10" t="str">
        <f>_xlfn.DISPIMG("ID_765E98CB33194EA99C516816318E2B7B",1)</f>
        <v>=DISPIMG("ID_765E98CB33194EA99C516816318E2B7B",1)</v>
      </c>
      <c r="AA174" s="10" t="s">
        <v>34</v>
      </c>
      <c r="AB174" s="10" t="s">
        <v>513</v>
      </c>
      <c r="AC174" s="10"/>
    </row>
    <row r="175" s="2" customFormat="1" ht="99" spans="1:29">
      <c r="A175" s="10" t="s">
        <v>29</v>
      </c>
      <c r="B175" s="10" t="s">
        <v>332</v>
      </c>
      <c r="C175" s="28" t="s">
        <v>412</v>
      </c>
      <c r="D175" s="29" t="s">
        <v>136</v>
      </c>
      <c r="E175" s="59"/>
      <c r="F175" s="28"/>
      <c r="G175" s="37"/>
      <c r="H175" s="29"/>
      <c r="I175" s="10"/>
      <c r="J175" s="10"/>
      <c r="K175" s="10"/>
      <c r="L175" s="10"/>
      <c r="M175" s="10"/>
      <c r="N175" s="10"/>
      <c r="O175" s="10"/>
      <c r="P175" s="10"/>
      <c r="Q175" s="10"/>
      <c r="R175" s="10"/>
      <c r="S175" s="63" t="s">
        <v>514</v>
      </c>
      <c r="T175" s="4" t="s">
        <v>68</v>
      </c>
      <c r="U175" s="63" t="s">
        <v>515</v>
      </c>
      <c r="V175" s="10" t="s">
        <v>33</v>
      </c>
      <c r="W175" s="23"/>
      <c r="X175" s="63" t="s">
        <v>514</v>
      </c>
      <c r="Y175" s="4" t="s">
        <v>68</v>
      </c>
      <c r="Z175" s="10" t="str">
        <f>_xlfn.DISPIMG("ID_AF81DA07528540CE8158052B15035278",1)</f>
        <v>=DISPIMG("ID_AF81DA07528540CE8158052B15035278",1)</v>
      </c>
      <c r="AA175" s="10" t="s">
        <v>34</v>
      </c>
      <c r="AB175" s="10" t="s">
        <v>516</v>
      </c>
      <c r="AC175" s="10"/>
    </row>
    <row r="176" s="2" customFormat="1" ht="49.5" spans="1:29">
      <c r="A176" s="10" t="s">
        <v>29</v>
      </c>
      <c r="B176" s="10" t="s">
        <v>332</v>
      </c>
      <c r="C176" s="28" t="s">
        <v>412</v>
      </c>
      <c r="D176" s="29" t="s">
        <v>136</v>
      </c>
      <c r="E176" s="59"/>
      <c r="F176" s="28"/>
      <c r="G176" s="37"/>
      <c r="H176" s="29"/>
      <c r="I176" s="10"/>
      <c r="J176" s="10"/>
      <c r="K176" s="10"/>
      <c r="L176" s="10"/>
      <c r="M176" s="10"/>
      <c r="N176" s="10"/>
      <c r="O176" s="10"/>
      <c r="P176" s="10"/>
      <c r="Q176" s="10"/>
      <c r="R176" s="10"/>
      <c r="S176" s="63" t="s">
        <v>517</v>
      </c>
      <c r="T176" s="4" t="s">
        <v>32</v>
      </c>
      <c r="U176" s="63" t="s">
        <v>517</v>
      </c>
      <c r="V176" s="10" t="s">
        <v>33</v>
      </c>
      <c r="W176" s="23"/>
      <c r="X176" s="63" t="s">
        <v>517</v>
      </c>
      <c r="Y176" s="4" t="s">
        <v>32</v>
      </c>
      <c r="Z176" s="10" t="str">
        <f>_xlfn.DISPIMG("ID_925407004A5140E5B3C670CA96293765",1)</f>
        <v>=DISPIMG("ID_925407004A5140E5B3C670CA96293765",1)</v>
      </c>
      <c r="AA176" s="10" t="s">
        <v>34</v>
      </c>
      <c r="AB176" s="10" t="s">
        <v>518</v>
      </c>
      <c r="AC176" s="10"/>
    </row>
    <row r="177" s="2" customFormat="1" ht="49.5" spans="1:29">
      <c r="A177" s="10" t="s">
        <v>29</v>
      </c>
      <c r="B177" s="10" t="s">
        <v>332</v>
      </c>
      <c r="C177" s="28" t="s">
        <v>412</v>
      </c>
      <c r="D177" s="29" t="s">
        <v>136</v>
      </c>
      <c r="E177" s="59"/>
      <c r="F177" s="28"/>
      <c r="G177" s="37"/>
      <c r="H177" s="29"/>
      <c r="I177" s="10"/>
      <c r="J177" s="10"/>
      <c r="K177" s="10"/>
      <c r="L177" s="10"/>
      <c r="M177" s="10"/>
      <c r="N177" s="10"/>
      <c r="O177" s="10"/>
      <c r="P177" s="10"/>
      <c r="Q177" s="10"/>
      <c r="R177" s="10"/>
      <c r="S177" s="63" t="s">
        <v>519</v>
      </c>
      <c r="T177" s="4" t="s">
        <v>32</v>
      </c>
      <c r="U177" s="63" t="s">
        <v>519</v>
      </c>
      <c r="V177" s="10" t="s">
        <v>33</v>
      </c>
      <c r="W177" s="23"/>
      <c r="X177" s="63" t="s">
        <v>519</v>
      </c>
      <c r="Y177" s="4" t="s">
        <v>32</v>
      </c>
      <c r="Z177" s="10" t="str">
        <f>_xlfn.DISPIMG("ID_363FC7CAEE9A47D2BC41AAD534628F81",1)</f>
        <v>=DISPIMG("ID_363FC7CAEE9A47D2BC41AAD534628F81",1)</v>
      </c>
      <c r="AA177" s="10" t="s">
        <v>34</v>
      </c>
      <c r="AB177" s="10" t="s">
        <v>520</v>
      </c>
      <c r="AC177" s="10"/>
    </row>
    <row r="178" s="2" customFormat="1" ht="136.4" spans="1:29">
      <c r="A178" s="10" t="s">
        <v>29</v>
      </c>
      <c r="B178" s="10" t="s">
        <v>332</v>
      </c>
      <c r="C178" s="28" t="s">
        <v>412</v>
      </c>
      <c r="D178" s="29" t="s">
        <v>136</v>
      </c>
      <c r="E178" s="59"/>
      <c r="F178" s="28"/>
      <c r="G178" s="37"/>
      <c r="H178" s="29"/>
      <c r="I178" s="10"/>
      <c r="J178" s="10"/>
      <c r="K178" s="10"/>
      <c r="L178" s="10"/>
      <c r="M178" s="10"/>
      <c r="N178" s="10"/>
      <c r="O178" s="10"/>
      <c r="P178" s="10"/>
      <c r="Q178" s="10"/>
      <c r="R178" s="10"/>
      <c r="S178" s="63" t="s">
        <v>521</v>
      </c>
      <c r="T178" s="4" t="s">
        <v>32</v>
      </c>
      <c r="U178" s="63" t="s">
        <v>521</v>
      </c>
      <c r="V178" s="10" t="s">
        <v>33</v>
      </c>
      <c r="W178" s="23"/>
      <c r="X178" s="63" t="s">
        <v>521</v>
      </c>
      <c r="Y178" s="4" t="s">
        <v>32</v>
      </c>
      <c r="Z178" s="10" t="str">
        <f>_xlfn.DISPIMG("ID_36D55550B0F24BE199FCB9C1D123C9E1",1)</f>
        <v>=DISPIMG("ID_36D55550B0F24BE199FCB9C1D123C9E1",1)</v>
      </c>
      <c r="AA178" s="10" t="s">
        <v>34</v>
      </c>
      <c r="AB178" s="10" t="s">
        <v>522</v>
      </c>
      <c r="AC178" s="10" t="s">
        <v>523</v>
      </c>
    </row>
    <row r="179" s="2" customFormat="1" ht="124.65" spans="1:29">
      <c r="A179" s="10" t="s">
        <v>29</v>
      </c>
      <c r="B179" s="10" t="s">
        <v>332</v>
      </c>
      <c r="C179" s="28" t="s">
        <v>412</v>
      </c>
      <c r="D179" s="29" t="s">
        <v>210</v>
      </c>
      <c r="E179" s="28"/>
      <c r="F179" s="29"/>
      <c r="G179" s="35"/>
      <c r="H179" s="28" t="s">
        <v>412</v>
      </c>
      <c r="I179" s="10"/>
      <c r="J179" s="10"/>
      <c r="K179" s="10"/>
      <c r="L179" s="10"/>
      <c r="M179" s="10"/>
      <c r="N179" s="10"/>
      <c r="O179" s="10"/>
      <c r="P179" s="10"/>
      <c r="Q179" s="10"/>
      <c r="R179" s="10"/>
      <c r="S179" s="63" t="s">
        <v>524</v>
      </c>
      <c r="T179" s="4" t="s">
        <v>32</v>
      </c>
      <c r="U179" s="63" t="s">
        <v>524</v>
      </c>
      <c r="V179" s="10" t="s">
        <v>33</v>
      </c>
      <c r="W179" s="23"/>
      <c r="X179" s="63" t="s">
        <v>524</v>
      </c>
      <c r="Y179" s="4" t="s">
        <v>32</v>
      </c>
      <c r="Z179" s="10" t="str">
        <f>_xlfn.DISPIMG("ID_A612601D1AF645DC8F63A7F0AFEBDBF0",1)</f>
        <v>=DISPIMG("ID_A612601D1AF645DC8F63A7F0AFEBDBF0",1)</v>
      </c>
      <c r="AA179" s="10" t="s">
        <v>34</v>
      </c>
      <c r="AB179" s="10" t="s">
        <v>525</v>
      </c>
      <c r="AC179" s="10"/>
    </row>
    <row r="180" s="2" customFormat="1" ht="86.45" spans="1:29">
      <c r="A180" s="10" t="s">
        <v>29</v>
      </c>
      <c r="B180" s="10" t="s">
        <v>332</v>
      </c>
      <c r="C180" s="28" t="s">
        <v>412</v>
      </c>
      <c r="D180" s="29" t="s">
        <v>210</v>
      </c>
      <c r="E180" s="28"/>
      <c r="F180" s="29"/>
      <c r="G180" s="35"/>
      <c r="H180" s="28"/>
      <c r="I180" s="10"/>
      <c r="J180" s="10"/>
      <c r="K180" s="10"/>
      <c r="L180" s="10"/>
      <c r="M180" s="10"/>
      <c r="N180" s="10"/>
      <c r="O180" s="10"/>
      <c r="P180" s="10"/>
      <c r="Q180" s="10"/>
      <c r="R180" s="10"/>
      <c r="S180" s="62" t="s">
        <v>526</v>
      </c>
      <c r="T180" s="4" t="s">
        <v>68</v>
      </c>
      <c r="U180" s="63" t="s">
        <v>527</v>
      </c>
      <c r="V180" s="10" t="s">
        <v>33</v>
      </c>
      <c r="W180" s="23"/>
      <c r="X180" s="62" t="s">
        <v>526</v>
      </c>
      <c r="Y180" s="4" t="s">
        <v>68</v>
      </c>
      <c r="Z180" s="10" t="str">
        <f>_xlfn.DISPIMG("ID_778B579DBFD34184A6EBF0BDD8D1F93A",1)</f>
        <v>=DISPIMG("ID_778B579DBFD34184A6EBF0BDD8D1F93A",1)</v>
      </c>
      <c r="AA180" s="10" t="s">
        <v>34</v>
      </c>
      <c r="AB180" s="10" t="s">
        <v>528</v>
      </c>
      <c r="AC180" s="10"/>
    </row>
    <row r="181" s="2" customFormat="1" ht="123.6" spans="1:29">
      <c r="A181" s="10" t="s">
        <v>29</v>
      </c>
      <c r="B181" s="10" t="s">
        <v>332</v>
      </c>
      <c r="C181" s="28" t="s">
        <v>412</v>
      </c>
      <c r="D181" s="29" t="s">
        <v>210</v>
      </c>
      <c r="E181" s="28"/>
      <c r="F181" s="29"/>
      <c r="G181" s="35"/>
      <c r="H181" s="28"/>
      <c r="I181" s="10"/>
      <c r="J181" s="10"/>
      <c r="K181" s="10"/>
      <c r="L181" s="10"/>
      <c r="M181" s="10"/>
      <c r="N181" s="10"/>
      <c r="O181" s="10"/>
      <c r="P181" s="10"/>
      <c r="Q181" s="10"/>
      <c r="R181" s="10"/>
      <c r="S181" s="63" t="s">
        <v>529</v>
      </c>
      <c r="T181" s="4" t="s">
        <v>32</v>
      </c>
      <c r="U181" s="63" t="s">
        <v>529</v>
      </c>
      <c r="V181" s="10" t="s">
        <v>33</v>
      </c>
      <c r="W181" s="23"/>
      <c r="X181" s="63" t="s">
        <v>529</v>
      </c>
      <c r="Y181" s="4" t="s">
        <v>32</v>
      </c>
      <c r="Z181" s="10" t="str">
        <f>_xlfn.DISPIMG("ID_115E76535B9D4D1381F9F5C57C43E184",1)</f>
        <v>=DISPIMG("ID_115E76535B9D4D1381F9F5C57C43E184",1)</v>
      </c>
      <c r="AA181" s="10" t="s">
        <v>34</v>
      </c>
      <c r="AB181" s="10" t="s">
        <v>530</v>
      </c>
      <c r="AC181" s="10"/>
    </row>
    <row r="182" s="2" customFormat="1" ht="82.5" spans="1:29">
      <c r="A182" s="10" t="s">
        <v>29</v>
      </c>
      <c r="B182" s="10" t="s">
        <v>332</v>
      </c>
      <c r="C182" s="28" t="s">
        <v>412</v>
      </c>
      <c r="D182" s="29" t="s">
        <v>210</v>
      </c>
      <c r="E182" s="28"/>
      <c r="F182" s="29"/>
      <c r="G182" s="35"/>
      <c r="H182" s="28"/>
      <c r="I182" s="10"/>
      <c r="J182" s="10"/>
      <c r="K182" s="10"/>
      <c r="L182" s="10"/>
      <c r="M182" s="10"/>
      <c r="N182" s="10"/>
      <c r="O182" s="10"/>
      <c r="P182" s="10"/>
      <c r="Q182" s="10"/>
      <c r="R182" s="10"/>
      <c r="S182" s="63" t="s">
        <v>531</v>
      </c>
      <c r="T182" s="4" t="s">
        <v>68</v>
      </c>
      <c r="U182" s="63" t="s">
        <v>527</v>
      </c>
      <c r="V182" s="10" t="s">
        <v>33</v>
      </c>
      <c r="W182" s="23"/>
      <c r="X182" s="63" t="s">
        <v>531</v>
      </c>
      <c r="Y182" s="4" t="s">
        <v>68</v>
      </c>
      <c r="Z182" s="10" t="str">
        <f>_xlfn.DISPIMG("ID_5C231636A34A4C45AE1AB002C171DE85",1)</f>
        <v>=DISPIMG("ID_5C231636A34A4C45AE1AB002C171DE85",1)</v>
      </c>
      <c r="AA182" s="10" t="s">
        <v>34</v>
      </c>
      <c r="AB182" s="10" t="s">
        <v>532</v>
      </c>
      <c r="AC182" s="10"/>
    </row>
    <row r="183" s="2" customFormat="1" ht="124.8" spans="1:29">
      <c r="A183" s="10" t="s">
        <v>29</v>
      </c>
      <c r="B183" s="10" t="s">
        <v>332</v>
      </c>
      <c r="C183" s="28" t="s">
        <v>412</v>
      </c>
      <c r="D183" s="29" t="s">
        <v>210</v>
      </c>
      <c r="E183" s="28"/>
      <c r="F183" s="29"/>
      <c r="G183" s="35"/>
      <c r="H183" s="28"/>
      <c r="I183" s="10"/>
      <c r="J183" s="10"/>
      <c r="K183" s="10"/>
      <c r="L183" s="10"/>
      <c r="M183" s="10"/>
      <c r="N183" s="10"/>
      <c r="O183" s="10"/>
      <c r="P183" s="10"/>
      <c r="Q183" s="10"/>
      <c r="R183" s="10"/>
      <c r="S183" s="62" t="s">
        <v>533</v>
      </c>
      <c r="T183" s="4" t="s">
        <v>32</v>
      </c>
      <c r="U183" s="62" t="s">
        <v>533</v>
      </c>
      <c r="V183" s="10" t="s">
        <v>33</v>
      </c>
      <c r="W183" s="23"/>
      <c r="X183" s="62" t="s">
        <v>533</v>
      </c>
      <c r="Y183" s="4" t="s">
        <v>32</v>
      </c>
      <c r="Z183" s="10" t="str">
        <f>_xlfn.DISPIMG("ID_BF2BFCD68C79430BBAA74986AF6A460E",1)</f>
        <v>=DISPIMG("ID_BF2BFCD68C79430BBAA74986AF6A460E",1)</v>
      </c>
      <c r="AA183" s="10" t="s">
        <v>34</v>
      </c>
      <c r="AB183" s="10" t="s">
        <v>534</v>
      </c>
      <c r="AC183" s="10"/>
    </row>
    <row r="184" s="2" customFormat="1" ht="82.5" spans="1:29">
      <c r="A184" s="10" t="s">
        <v>29</v>
      </c>
      <c r="B184" s="10" t="s">
        <v>332</v>
      </c>
      <c r="C184" s="28" t="s">
        <v>412</v>
      </c>
      <c r="D184" s="29" t="s">
        <v>210</v>
      </c>
      <c r="E184" s="28"/>
      <c r="F184" s="29"/>
      <c r="G184" s="35"/>
      <c r="H184" s="28"/>
      <c r="I184" s="10"/>
      <c r="J184" s="10"/>
      <c r="K184" s="10"/>
      <c r="L184" s="10"/>
      <c r="M184" s="10"/>
      <c r="N184" s="10"/>
      <c r="O184" s="10"/>
      <c r="P184" s="10"/>
      <c r="Q184" s="10"/>
      <c r="R184" s="10"/>
      <c r="S184" s="62" t="s">
        <v>535</v>
      </c>
      <c r="T184" s="4" t="s">
        <v>68</v>
      </c>
      <c r="U184" s="63" t="s">
        <v>527</v>
      </c>
      <c r="V184" s="10" t="s">
        <v>33</v>
      </c>
      <c r="W184" s="23"/>
      <c r="X184" s="62" t="s">
        <v>535</v>
      </c>
      <c r="Y184" s="4" t="s">
        <v>68</v>
      </c>
      <c r="Z184" s="10" t="str">
        <f>_xlfn.DISPIMG("ID_9E5D3583E4004A6583CAFD015691289D",1)</f>
        <v>=DISPIMG("ID_9E5D3583E4004A6583CAFD015691289D",1)</v>
      </c>
      <c r="AA184" s="10" t="s">
        <v>34</v>
      </c>
      <c r="AB184" s="10" t="s">
        <v>536</v>
      </c>
      <c r="AC184" s="10"/>
    </row>
    <row r="185" s="2" customFormat="1" ht="124.6" spans="1:29">
      <c r="A185" s="10" t="s">
        <v>29</v>
      </c>
      <c r="B185" s="10" t="s">
        <v>332</v>
      </c>
      <c r="C185" s="28" t="s">
        <v>412</v>
      </c>
      <c r="D185" s="29" t="s">
        <v>210</v>
      </c>
      <c r="E185" s="28"/>
      <c r="F185" s="29"/>
      <c r="G185" s="35"/>
      <c r="H185" s="28"/>
      <c r="I185" s="10"/>
      <c r="J185" s="10"/>
      <c r="K185" s="10"/>
      <c r="L185" s="10"/>
      <c r="M185" s="10"/>
      <c r="N185" s="10"/>
      <c r="O185" s="10"/>
      <c r="P185" s="10"/>
      <c r="Q185" s="10"/>
      <c r="R185" s="10"/>
      <c r="S185" s="62" t="s">
        <v>537</v>
      </c>
      <c r="T185" s="4" t="s">
        <v>32</v>
      </c>
      <c r="U185" s="62" t="s">
        <v>537</v>
      </c>
      <c r="V185" s="10" t="s">
        <v>33</v>
      </c>
      <c r="W185" s="23"/>
      <c r="X185" s="62" t="s">
        <v>537</v>
      </c>
      <c r="Y185" s="4" t="s">
        <v>32</v>
      </c>
      <c r="Z185" s="10" t="str">
        <f>_xlfn.DISPIMG("ID_D06E8C51C48F43C0926E44E4E2AD7399",1)</f>
        <v>=DISPIMG("ID_D06E8C51C48F43C0926E44E4E2AD7399",1)</v>
      </c>
      <c r="AA185" s="10" t="s">
        <v>34</v>
      </c>
      <c r="AB185" s="10" t="s">
        <v>538</v>
      </c>
      <c r="AC185" s="10"/>
    </row>
    <row r="186" s="2" customFormat="1" ht="82.5" spans="1:29">
      <c r="A186" s="10" t="s">
        <v>29</v>
      </c>
      <c r="B186" s="10" t="s">
        <v>332</v>
      </c>
      <c r="C186" s="28" t="s">
        <v>412</v>
      </c>
      <c r="D186" s="29" t="s">
        <v>210</v>
      </c>
      <c r="E186" s="28"/>
      <c r="F186" s="29"/>
      <c r="G186" s="35"/>
      <c r="H186" s="28"/>
      <c r="I186" s="10"/>
      <c r="J186" s="10"/>
      <c r="K186" s="10"/>
      <c r="L186" s="10"/>
      <c r="M186" s="10"/>
      <c r="N186" s="10"/>
      <c r="O186" s="10"/>
      <c r="P186" s="10"/>
      <c r="Q186" s="10"/>
      <c r="R186" s="10"/>
      <c r="S186" s="62" t="s">
        <v>539</v>
      </c>
      <c r="T186" s="4" t="s">
        <v>68</v>
      </c>
      <c r="U186" s="63" t="s">
        <v>527</v>
      </c>
      <c r="V186" s="10" t="s">
        <v>33</v>
      </c>
      <c r="W186" s="23"/>
      <c r="X186" s="62" t="s">
        <v>539</v>
      </c>
      <c r="Y186" s="4" t="s">
        <v>68</v>
      </c>
      <c r="Z186" s="10" t="str">
        <f>_xlfn.DISPIMG("ID_38AEAB1A324641BCA4F22D1136564213",1)</f>
        <v>=DISPIMG("ID_38AEAB1A324641BCA4F22D1136564213",1)</v>
      </c>
      <c r="AA186" s="10" t="s">
        <v>34</v>
      </c>
      <c r="AB186" s="10" t="s">
        <v>540</v>
      </c>
      <c r="AC186" s="10"/>
    </row>
    <row r="187" s="2" customFormat="1" ht="77.4" spans="1:29">
      <c r="A187" s="10" t="s">
        <v>29</v>
      </c>
      <c r="B187" s="10" t="s">
        <v>332</v>
      </c>
      <c r="C187" s="28" t="s">
        <v>412</v>
      </c>
      <c r="D187" s="29" t="s">
        <v>210</v>
      </c>
      <c r="E187" s="28"/>
      <c r="F187" s="29"/>
      <c r="G187" s="35"/>
      <c r="H187" s="28"/>
      <c r="I187" s="10"/>
      <c r="J187" s="10"/>
      <c r="K187" s="10"/>
      <c r="L187" s="10"/>
      <c r="M187" s="10"/>
      <c r="N187" s="10"/>
      <c r="O187" s="10"/>
      <c r="P187" s="10"/>
      <c r="Q187" s="10"/>
      <c r="R187" s="10"/>
      <c r="S187" s="62" t="s">
        <v>541</v>
      </c>
      <c r="T187" s="4" t="s">
        <v>32</v>
      </c>
      <c r="U187" s="62" t="s">
        <v>541</v>
      </c>
      <c r="V187" s="10" t="s">
        <v>33</v>
      </c>
      <c r="W187" s="23"/>
      <c r="X187" s="62" t="s">
        <v>541</v>
      </c>
      <c r="Y187" s="4" t="s">
        <v>32</v>
      </c>
      <c r="Z187" s="10" t="str">
        <f>_xlfn.DISPIMG("ID_43B317551CFC4CCDAC073AE20A1B5DCC",1)</f>
        <v>=DISPIMG("ID_43B317551CFC4CCDAC073AE20A1B5DCC",1)</v>
      </c>
      <c r="AA187" s="10" t="s">
        <v>34</v>
      </c>
      <c r="AB187" s="10" t="s">
        <v>542</v>
      </c>
      <c r="AC187" s="10"/>
    </row>
    <row r="188" s="2" customFormat="1" ht="82.8" spans="1:29">
      <c r="A188" s="10" t="s">
        <v>29</v>
      </c>
      <c r="B188" s="10" t="s">
        <v>332</v>
      </c>
      <c r="C188" s="28" t="s">
        <v>412</v>
      </c>
      <c r="D188" s="29" t="s">
        <v>210</v>
      </c>
      <c r="E188" s="28"/>
      <c r="F188" s="29"/>
      <c r="G188" s="35"/>
      <c r="H188" s="28"/>
      <c r="I188" s="10"/>
      <c r="J188" s="10"/>
      <c r="K188" s="10"/>
      <c r="L188" s="10"/>
      <c r="M188" s="10"/>
      <c r="N188" s="10"/>
      <c r="O188" s="10"/>
      <c r="P188" s="10"/>
      <c r="Q188" s="10"/>
      <c r="R188" s="10"/>
      <c r="S188" s="62" t="s">
        <v>543</v>
      </c>
      <c r="T188" s="4" t="s">
        <v>68</v>
      </c>
      <c r="U188" s="63" t="s">
        <v>527</v>
      </c>
      <c r="V188" s="10" t="s">
        <v>33</v>
      </c>
      <c r="W188" s="23"/>
      <c r="X188" s="62" t="s">
        <v>543</v>
      </c>
      <c r="Y188" s="4" t="s">
        <v>68</v>
      </c>
      <c r="Z188" s="10" t="str">
        <f>_xlfn.DISPIMG("ID_37BF6976862C4361BE126C2172921A87",1)</f>
        <v>=DISPIMG("ID_37BF6976862C4361BE126C2172921A87",1)</v>
      </c>
      <c r="AA188" s="10" t="s">
        <v>34</v>
      </c>
      <c r="AB188" s="10" t="s">
        <v>544</v>
      </c>
      <c r="AC188" s="10"/>
    </row>
    <row r="189" s="2" customFormat="1" ht="117.65" spans="1:29">
      <c r="A189" s="10" t="s">
        <v>29</v>
      </c>
      <c r="B189" s="10" t="s">
        <v>332</v>
      </c>
      <c r="C189" s="28" t="s">
        <v>412</v>
      </c>
      <c r="D189" s="29" t="s">
        <v>210</v>
      </c>
      <c r="E189" s="28"/>
      <c r="F189" s="23"/>
      <c r="G189" s="35"/>
      <c r="H189" s="28" t="s">
        <v>438</v>
      </c>
      <c r="I189" s="10"/>
      <c r="J189" s="10"/>
      <c r="K189" s="10"/>
      <c r="L189" s="10"/>
      <c r="M189" s="10"/>
      <c r="N189" s="10"/>
      <c r="O189" s="10"/>
      <c r="P189" s="10"/>
      <c r="Q189" s="10"/>
      <c r="R189" s="10"/>
      <c r="S189" s="63" t="s">
        <v>545</v>
      </c>
      <c r="T189" s="4" t="s">
        <v>32</v>
      </c>
      <c r="U189" s="63" t="s">
        <v>545</v>
      </c>
      <c r="V189" s="10" t="s">
        <v>33</v>
      </c>
      <c r="W189" s="23"/>
      <c r="X189" s="63" t="s">
        <v>545</v>
      </c>
      <c r="Y189" s="4" t="s">
        <v>32</v>
      </c>
      <c r="Z189" s="10" t="str">
        <f>_xlfn.DISPIMG("ID_CDD5759CE451467D8E80C1F105D0D00D",1)</f>
        <v>=DISPIMG("ID_CDD5759CE451467D8E80C1F105D0D00D",1)</v>
      </c>
      <c r="AA189" s="10" t="s">
        <v>34</v>
      </c>
      <c r="AB189" s="10" t="s">
        <v>546</v>
      </c>
      <c r="AC189" s="10"/>
    </row>
    <row r="190" s="2" customFormat="1" ht="82.5" spans="1:29">
      <c r="A190" s="10" t="s">
        <v>29</v>
      </c>
      <c r="B190" s="10" t="s">
        <v>332</v>
      </c>
      <c r="C190" s="28" t="s">
        <v>412</v>
      </c>
      <c r="D190" s="29" t="s">
        <v>210</v>
      </c>
      <c r="E190" s="28"/>
      <c r="F190" s="23"/>
      <c r="G190" s="35"/>
      <c r="H190" s="28"/>
      <c r="I190" s="10"/>
      <c r="J190" s="10"/>
      <c r="K190" s="10"/>
      <c r="L190" s="10"/>
      <c r="M190" s="10"/>
      <c r="N190" s="10"/>
      <c r="O190" s="10"/>
      <c r="P190" s="10"/>
      <c r="Q190" s="10"/>
      <c r="R190" s="10"/>
      <c r="S190" s="63" t="s">
        <v>547</v>
      </c>
      <c r="T190" s="4" t="s">
        <v>68</v>
      </c>
      <c r="U190" s="63" t="s">
        <v>440</v>
      </c>
      <c r="V190" s="10" t="s">
        <v>33</v>
      </c>
      <c r="W190" s="23"/>
      <c r="X190" s="63" t="s">
        <v>547</v>
      </c>
      <c r="Y190" s="4" t="s">
        <v>68</v>
      </c>
      <c r="Z190" s="10" t="str">
        <f>_xlfn.DISPIMG("ID_5A64B907D5B842459E20D6C1BD9F59E9",1)</f>
        <v>=DISPIMG("ID_5A64B907D5B842459E20D6C1BD9F59E9",1)</v>
      </c>
      <c r="AA190" s="10" t="s">
        <v>34</v>
      </c>
      <c r="AB190" s="10" t="s">
        <v>548</v>
      </c>
      <c r="AC190" s="10"/>
    </row>
    <row r="191" s="2" customFormat="1" ht="99" spans="1:29">
      <c r="A191" s="10" t="s">
        <v>29</v>
      </c>
      <c r="B191" s="10" t="s">
        <v>332</v>
      </c>
      <c r="C191" s="28" t="s">
        <v>412</v>
      </c>
      <c r="D191" s="29" t="s">
        <v>210</v>
      </c>
      <c r="E191" s="29"/>
      <c r="F191" s="29"/>
      <c r="G191" s="35"/>
      <c r="H191" s="29" t="s">
        <v>445</v>
      </c>
      <c r="I191" s="10"/>
      <c r="J191" s="10"/>
      <c r="K191" s="10"/>
      <c r="L191" s="10"/>
      <c r="M191" s="10"/>
      <c r="N191" s="10"/>
      <c r="O191" s="10"/>
      <c r="P191" s="10"/>
      <c r="Q191" s="10"/>
      <c r="R191" s="10"/>
      <c r="S191" s="63" t="s">
        <v>549</v>
      </c>
      <c r="T191" s="4" t="s">
        <v>68</v>
      </c>
      <c r="U191" s="63" t="s">
        <v>550</v>
      </c>
      <c r="V191" s="10" t="s">
        <v>33</v>
      </c>
      <c r="W191" s="23"/>
      <c r="X191" s="63" t="s">
        <v>549</v>
      </c>
      <c r="Y191" s="4" t="s">
        <v>68</v>
      </c>
      <c r="Z191" s="10" t="str">
        <f>_xlfn.DISPIMG("ID_35A07D3D2D3E4896A86B9AD4F90912BE",1)</f>
        <v>=DISPIMG("ID_35A07D3D2D3E4896A86B9AD4F90912BE",1)</v>
      </c>
      <c r="AA191" s="10" t="s">
        <v>34</v>
      </c>
      <c r="AB191" s="10" t="s">
        <v>551</v>
      </c>
      <c r="AC191" s="10" t="s">
        <v>552</v>
      </c>
    </row>
    <row r="192" s="2" customFormat="1" ht="126.55" spans="1:29">
      <c r="A192" s="10" t="s">
        <v>29</v>
      </c>
      <c r="B192" s="10" t="s">
        <v>332</v>
      </c>
      <c r="C192" s="28" t="s">
        <v>412</v>
      </c>
      <c r="D192" s="29" t="s">
        <v>210</v>
      </c>
      <c r="E192" s="29"/>
      <c r="F192" s="29"/>
      <c r="G192" s="35"/>
      <c r="H192" s="29"/>
      <c r="I192" s="10"/>
      <c r="J192" s="10"/>
      <c r="K192" s="10"/>
      <c r="L192" s="10"/>
      <c r="M192" s="10"/>
      <c r="N192" s="10"/>
      <c r="O192" s="10"/>
      <c r="P192" s="10"/>
      <c r="Q192" s="10"/>
      <c r="R192" s="10"/>
      <c r="S192" s="63" t="s">
        <v>553</v>
      </c>
      <c r="T192" s="4" t="s">
        <v>32</v>
      </c>
      <c r="U192" s="63" t="s">
        <v>553</v>
      </c>
      <c r="V192" s="10" t="s">
        <v>33</v>
      </c>
      <c r="W192" s="23"/>
      <c r="X192" s="63" t="s">
        <v>553</v>
      </c>
      <c r="Y192" s="4" t="s">
        <v>32</v>
      </c>
      <c r="Z192" s="10" t="str">
        <f>_xlfn.DISPIMG("ID_1B42439616D44531A6E3065242DAFD58",1)</f>
        <v>=DISPIMG("ID_1B42439616D44531A6E3065242DAFD58",1)</v>
      </c>
      <c r="AA192" s="10" t="s">
        <v>34</v>
      </c>
      <c r="AB192" s="10" t="s">
        <v>554</v>
      </c>
      <c r="AC192" s="10" t="s">
        <v>552</v>
      </c>
    </row>
    <row r="193" s="2" customFormat="1" ht="132" spans="1:29">
      <c r="A193" s="10" t="s">
        <v>29</v>
      </c>
      <c r="B193" s="10" t="s">
        <v>332</v>
      </c>
      <c r="C193" s="28" t="s">
        <v>412</v>
      </c>
      <c r="D193" s="29" t="s">
        <v>210</v>
      </c>
      <c r="E193" s="29"/>
      <c r="F193" s="29"/>
      <c r="G193" s="35"/>
      <c r="H193" s="29"/>
      <c r="I193" s="10"/>
      <c r="J193" s="10"/>
      <c r="K193" s="10"/>
      <c r="L193" s="10"/>
      <c r="M193" s="10"/>
      <c r="N193" s="10"/>
      <c r="O193" s="10"/>
      <c r="P193" s="10"/>
      <c r="Q193" s="10"/>
      <c r="R193" s="10"/>
      <c r="S193" s="63" t="s">
        <v>555</v>
      </c>
      <c r="T193" s="4" t="s">
        <v>68</v>
      </c>
      <c r="U193" s="63" t="s">
        <v>556</v>
      </c>
      <c r="V193" s="10" t="s">
        <v>33</v>
      </c>
      <c r="W193" s="23"/>
      <c r="X193" s="63" t="s">
        <v>555</v>
      </c>
      <c r="Y193" s="4" t="s">
        <v>68</v>
      </c>
      <c r="Z193" s="10" t="str">
        <f>_xlfn.DISPIMG("ID_FF89C67D0CBC405293C39CC40DD016DF",1)</f>
        <v>=DISPIMG("ID_FF89C67D0CBC405293C39CC40DD016DF",1)</v>
      </c>
      <c r="AA193" s="10" t="s">
        <v>34</v>
      </c>
      <c r="AB193" s="10" t="s">
        <v>557</v>
      </c>
      <c r="AC193" s="10" t="s">
        <v>552</v>
      </c>
    </row>
    <row r="194" s="2" customFormat="1" ht="49.5" spans="1:29">
      <c r="A194" s="10" t="s">
        <v>29</v>
      </c>
      <c r="B194" s="10" t="s">
        <v>332</v>
      </c>
      <c r="C194" s="28" t="s">
        <v>412</v>
      </c>
      <c r="D194" s="29" t="s">
        <v>210</v>
      </c>
      <c r="E194" s="29"/>
      <c r="F194" s="29"/>
      <c r="G194" s="35"/>
      <c r="H194" s="29"/>
      <c r="I194" s="10"/>
      <c r="J194" s="10"/>
      <c r="K194" s="10"/>
      <c r="L194" s="10"/>
      <c r="M194" s="10"/>
      <c r="N194" s="10"/>
      <c r="O194" s="10"/>
      <c r="P194" s="10"/>
      <c r="Q194" s="10"/>
      <c r="R194" s="10"/>
      <c r="S194" s="63" t="s">
        <v>558</v>
      </c>
      <c r="T194" s="4" t="s">
        <v>32</v>
      </c>
      <c r="U194" s="63" t="s">
        <v>558</v>
      </c>
      <c r="V194" s="10" t="s">
        <v>33</v>
      </c>
      <c r="W194" s="23"/>
      <c r="X194" s="63" t="s">
        <v>558</v>
      </c>
      <c r="Y194" s="4" t="s">
        <v>32</v>
      </c>
      <c r="Z194" s="10" t="str">
        <f>_xlfn.DISPIMG("ID_4DD144FCF60D400DBE5AB5B0C85B5BFF",1)</f>
        <v>=DISPIMG("ID_4DD144FCF60D400DBE5AB5B0C85B5BFF",1)</v>
      </c>
      <c r="AA194" s="10" t="s">
        <v>34</v>
      </c>
      <c r="AB194" s="10" t="s">
        <v>559</v>
      </c>
      <c r="AC194" s="10"/>
    </row>
    <row r="195" s="2" customFormat="1" ht="66" spans="1:29">
      <c r="A195" s="10" t="s">
        <v>29</v>
      </c>
      <c r="B195" s="10" t="s">
        <v>332</v>
      </c>
      <c r="C195" s="28" t="s">
        <v>412</v>
      </c>
      <c r="D195" s="29" t="s">
        <v>269</v>
      </c>
      <c r="E195" s="59"/>
      <c r="F195" s="29"/>
      <c r="G195" s="33"/>
      <c r="H195" s="23" t="s">
        <v>560</v>
      </c>
      <c r="I195" s="10"/>
      <c r="J195" s="10"/>
      <c r="K195" s="10"/>
      <c r="L195" s="10"/>
      <c r="M195" s="10"/>
      <c r="N195" s="10"/>
      <c r="O195" s="10"/>
      <c r="P195" s="10"/>
      <c r="Q195" s="10"/>
      <c r="R195" s="10"/>
      <c r="S195" s="63" t="s">
        <v>561</v>
      </c>
      <c r="T195" s="4" t="s">
        <v>32</v>
      </c>
      <c r="U195" s="63" t="s">
        <v>561</v>
      </c>
      <c r="V195" s="10" t="s">
        <v>33</v>
      </c>
      <c r="W195" s="23"/>
      <c r="X195" s="63" t="s">
        <v>561</v>
      </c>
      <c r="Y195" s="4" t="s">
        <v>32</v>
      </c>
      <c r="Z195" s="10" t="str">
        <f>_xlfn.DISPIMG("ID_359253887FB64D3BA5453B159E0D9D67",1)</f>
        <v>=DISPIMG("ID_359253887FB64D3BA5453B159E0D9D67",1)</v>
      </c>
      <c r="AA195" s="10" t="s">
        <v>34</v>
      </c>
      <c r="AB195" s="10" t="s">
        <v>562</v>
      </c>
      <c r="AC195" s="10"/>
    </row>
    <row r="196" s="2" customFormat="1" ht="66" spans="1:29">
      <c r="A196" s="10" t="s">
        <v>29</v>
      </c>
      <c r="B196" s="10" t="s">
        <v>332</v>
      </c>
      <c r="C196" s="28" t="s">
        <v>412</v>
      </c>
      <c r="D196" s="29" t="s">
        <v>269</v>
      </c>
      <c r="E196" s="59"/>
      <c r="F196" s="29"/>
      <c r="G196" s="33"/>
      <c r="H196" s="28" t="s">
        <v>563</v>
      </c>
      <c r="I196" s="10"/>
      <c r="J196" s="10"/>
      <c r="K196" s="10"/>
      <c r="L196" s="10"/>
      <c r="M196" s="10"/>
      <c r="N196" s="10"/>
      <c r="O196" s="10"/>
      <c r="P196" s="10"/>
      <c r="Q196" s="10"/>
      <c r="R196" s="10"/>
      <c r="S196" s="63" t="s">
        <v>564</v>
      </c>
      <c r="T196" s="4" t="s">
        <v>32</v>
      </c>
      <c r="U196" s="63" t="s">
        <v>564</v>
      </c>
      <c r="V196" s="10" t="s">
        <v>33</v>
      </c>
      <c r="W196" s="23"/>
      <c r="X196" s="63" t="s">
        <v>564</v>
      </c>
      <c r="Y196" s="4" t="s">
        <v>32</v>
      </c>
      <c r="Z196" s="10" t="str">
        <f>_xlfn.DISPIMG("ID_F10497A7D2A843BEB804E1087FFAEE33",1)</f>
        <v>=DISPIMG("ID_F10497A7D2A843BEB804E1087FFAEE33",1)</v>
      </c>
      <c r="AA196" s="10" t="s">
        <v>34</v>
      </c>
      <c r="AB196" s="10" t="s">
        <v>565</v>
      </c>
      <c r="AC196" s="10"/>
    </row>
    <row r="197" s="2" customFormat="1" ht="66" spans="1:29">
      <c r="A197" s="10" t="s">
        <v>29</v>
      </c>
      <c r="B197" s="10" t="s">
        <v>332</v>
      </c>
      <c r="C197" s="28" t="s">
        <v>412</v>
      </c>
      <c r="D197" s="29" t="s">
        <v>269</v>
      </c>
      <c r="E197" s="59"/>
      <c r="F197" s="29"/>
      <c r="G197" s="33"/>
      <c r="H197" s="28"/>
      <c r="I197" s="10"/>
      <c r="J197" s="10"/>
      <c r="K197" s="10"/>
      <c r="L197" s="10"/>
      <c r="M197" s="10"/>
      <c r="N197" s="10"/>
      <c r="O197" s="10"/>
      <c r="P197" s="10"/>
      <c r="Q197" s="10"/>
      <c r="R197" s="10"/>
      <c r="S197" s="63" t="s">
        <v>566</v>
      </c>
      <c r="T197" s="4" t="s">
        <v>32</v>
      </c>
      <c r="U197" s="63" t="s">
        <v>566</v>
      </c>
      <c r="V197" s="10" t="s">
        <v>33</v>
      </c>
      <c r="W197" s="23"/>
      <c r="X197" s="63" t="s">
        <v>566</v>
      </c>
      <c r="Y197" s="4" t="s">
        <v>32</v>
      </c>
      <c r="Z197" s="10" t="str">
        <f>_xlfn.DISPIMG("ID_B39527456E4140188807EF18E426CD76",1)</f>
        <v>=DISPIMG("ID_B39527456E4140188807EF18E426CD76",1)</v>
      </c>
      <c r="AA197" s="10" t="s">
        <v>34</v>
      </c>
      <c r="AB197" s="10" t="s">
        <v>567</v>
      </c>
      <c r="AC197" s="10" t="s">
        <v>568</v>
      </c>
    </row>
    <row r="198" s="2" customFormat="1" ht="72.3" spans="1:29">
      <c r="A198" s="10" t="s">
        <v>29</v>
      </c>
      <c r="B198" s="10" t="s">
        <v>332</v>
      </c>
      <c r="C198" s="28" t="s">
        <v>412</v>
      </c>
      <c r="D198" s="29" t="s">
        <v>269</v>
      </c>
      <c r="E198" s="59"/>
      <c r="F198" s="29"/>
      <c r="G198" s="33"/>
      <c r="H198" s="28"/>
      <c r="I198" s="10"/>
      <c r="J198" s="10"/>
      <c r="K198" s="10"/>
      <c r="L198" s="10"/>
      <c r="M198" s="10"/>
      <c r="N198" s="10"/>
      <c r="O198" s="10"/>
      <c r="P198" s="10"/>
      <c r="Q198" s="10"/>
      <c r="R198" s="10"/>
      <c r="S198" s="63" t="s">
        <v>569</v>
      </c>
      <c r="T198" s="4" t="s">
        <v>32</v>
      </c>
      <c r="U198" s="63" t="s">
        <v>569</v>
      </c>
      <c r="V198" s="10" t="s">
        <v>33</v>
      </c>
      <c r="W198" s="23"/>
      <c r="X198" s="63" t="s">
        <v>569</v>
      </c>
      <c r="Y198" s="4" t="s">
        <v>32</v>
      </c>
      <c r="Z198" s="10" t="str">
        <f>_xlfn.DISPIMG("ID_62BE90AD19C84154A53C12EDF1824CFF",1)</f>
        <v>=DISPIMG("ID_62BE90AD19C84154A53C12EDF1824CFF",1)</v>
      </c>
      <c r="AA198" s="10" t="s">
        <v>34</v>
      </c>
      <c r="AB198" s="10" t="s">
        <v>570</v>
      </c>
      <c r="AC198" s="10"/>
    </row>
    <row r="199" s="2" customFormat="1" ht="125.45" spans="1:29">
      <c r="A199" s="10" t="s">
        <v>29</v>
      </c>
      <c r="B199" s="10" t="s">
        <v>332</v>
      </c>
      <c r="C199" s="28" t="s">
        <v>412</v>
      </c>
      <c r="D199" s="29" t="s">
        <v>269</v>
      </c>
      <c r="E199" s="59"/>
      <c r="F199" s="29"/>
      <c r="G199" s="33"/>
      <c r="H199" s="28"/>
      <c r="I199" s="10"/>
      <c r="J199" s="10"/>
      <c r="K199" s="10"/>
      <c r="L199" s="10"/>
      <c r="M199" s="10"/>
      <c r="N199" s="10"/>
      <c r="O199" s="10"/>
      <c r="P199" s="10"/>
      <c r="Q199" s="10"/>
      <c r="R199" s="10"/>
      <c r="S199" s="63" t="s">
        <v>571</v>
      </c>
      <c r="T199" s="4" t="s">
        <v>32</v>
      </c>
      <c r="U199" s="63" t="s">
        <v>571</v>
      </c>
      <c r="V199" s="10" t="s">
        <v>33</v>
      </c>
      <c r="W199" s="23"/>
      <c r="X199" s="63" t="s">
        <v>571</v>
      </c>
      <c r="Y199" s="4" t="s">
        <v>32</v>
      </c>
      <c r="Z199" s="10" t="str">
        <f>_xlfn.DISPIMG("ID_19876D1FD6B7402EB79015EC5A44F800",1)</f>
        <v>=DISPIMG("ID_19876D1FD6B7402EB79015EC5A44F800",1)</v>
      </c>
      <c r="AA199" s="10" t="s">
        <v>34</v>
      </c>
      <c r="AB199" s="10" t="s">
        <v>572</v>
      </c>
      <c r="AC199" s="10"/>
    </row>
    <row r="200" s="2" customFormat="1" ht="124.95" spans="1:29">
      <c r="A200" s="10" t="s">
        <v>29</v>
      </c>
      <c r="B200" s="10" t="s">
        <v>332</v>
      </c>
      <c r="C200" s="28" t="s">
        <v>412</v>
      </c>
      <c r="D200" s="29" t="s">
        <v>269</v>
      </c>
      <c r="E200" s="59"/>
      <c r="F200" s="29"/>
      <c r="G200" s="33"/>
      <c r="H200" s="28"/>
      <c r="I200" s="10"/>
      <c r="J200" s="10"/>
      <c r="K200" s="10"/>
      <c r="L200" s="10"/>
      <c r="M200" s="10"/>
      <c r="N200" s="10"/>
      <c r="O200" s="10"/>
      <c r="P200" s="10"/>
      <c r="Q200" s="10"/>
      <c r="R200" s="10"/>
      <c r="S200" s="63" t="s">
        <v>573</v>
      </c>
      <c r="T200" s="4" t="s">
        <v>32</v>
      </c>
      <c r="U200" s="63" t="s">
        <v>573</v>
      </c>
      <c r="V200" s="10" t="s">
        <v>33</v>
      </c>
      <c r="W200" s="23"/>
      <c r="X200" s="63" t="s">
        <v>573</v>
      </c>
      <c r="Y200" s="4" t="s">
        <v>32</v>
      </c>
      <c r="Z200" s="10" t="str">
        <f>_xlfn.DISPIMG("ID_DADEAB60C7124329949D6CC1F2459880",1)</f>
        <v>=DISPIMG("ID_DADEAB60C7124329949D6CC1F2459880",1)</v>
      </c>
      <c r="AA200" s="10" t="s">
        <v>34</v>
      </c>
      <c r="AB200" s="10" t="s">
        <v>574</v>
      </c>
      <c r="AC200" s="10"/>
    </row>
    <row r="201" s="2" customFormat="1" ht="125.7" spans="1:29">
      <c r="A201" s="10" t="s">
        <v>29</v>
      </c>
      <c r="B201" s="10" t="s">
        <v>332</v>
      </c>
      <c r="C201" s="28" t="s">
        <v>412</v>
      </c>
      <c r="D201" s="29" t="s">
        <v>269</v>
      </c>
      <c r="E201" s="59"/>
      <c r="F201" s="29"/>
      <c r="G201" s="33"/>
      <c r="H201" s="28"/>
      <c r="I201" s="10"/>
      <c r="J201" s="10"/>
      <c r="K201" s="10"/>
      <c r="L201" s="10"/>
      <c r="M201" s="10"/>
      <c r="N201" s="10"/>
      <c r="O201" s="10"/>
      <c r="P201" s="10"/>
      <c r="Q201" s="10"/>
      <c r="R201" s="10"/>
      <c r="S201" s="63" t="s">
        <v>575</v>
      </c>
      <c r="T201" s="4" t="s">
        <v>32</v>
      </c>
      <c r="U201" s="63" t="s">
        <v>575</v>
      </c>
      <c r="V201" s="10" t="s">
        <v>33</v>
      </c>
      <c r="W201" s="23"/>
      <c r="X201" s="63" t="s">
        <v>575</v>
      </c>
      <c r="Y201" s="4" t="s">
        <v>32</v>
      </c>
      <c r="Z201" s="10" t="str">
        <f>_xlfn.DISPIMG("ID_9A883DB28FF14790A0E2AD70A3ABA14D",1)</f>
        <v>=DISPIMG("ID_9A883DB28FF14790A0E2AD70A3ABA14D",1)</v>
      </c>
      <c r="AA201" s="10" t="s">
        <v>34</v>
      </c>
      <c r="AB201" s="10" t="s">
        <v>576</v>
      </c>
      <c r="AC201" s="10"/>
    </row>
    <row r="202" s="2" customFormat="1" ht="124.45" spans="1:29">
      <c r="A202" s="10" t="s">
        <v>29</v>
      </c>
      <c r="B202" s="10" t="s">
        <v>332</v>
      </c>
      <c r="C202" s="28" t="s">
        <v>412</v>
      </c>
      <c r="D202" s="29" t="s">
        <v>269</v>
      </c>
      <c r="E202" s="59"/>
      <c r="F202" s="28"/>
      <c r="G202" s="33"/>
      <c r="H202" s="28"/>
      <c r="I202" s="10"/>
      <c r="J202" s="10"/>
      <c r="K202" s="10"/>
      <c r="L202" s="10"/>
      <c r="M202" s="10"/>
      <c r="N202" s="10"/>
      <c r="O202" s="10"/>
      <c r="P202" s="10"/>
      <c r="Q202" s="10"/>
      <c r="R202" s="10"/>
      <c r="S202" s="63" t="s">
        <v>577</v>
      </c>
      <c r="T202" s="4" t="s">
        <v>32</v>
      </c>
      <c r="U202" s="63" t="s">
        <v>577</v>
      </c>
      <c r="V202" s="10" t="s">
        <v>33</v>
      </c>
      <c r="W202" s="23"/>
      <c r="X202" s="63" t="s">
        <v>577</v>
      </c>
      <c r="Y202" s="4" t="s">
        <v>32</v>
      </c>
      <c r="Z202" s="10" t="str">
        <f>_xlfn.DISPIMG("ID_89F403C3EF394649947D96DFDAC14F6F",1)</f>
        <v>=DISPIMG("ID_89F403C3EF394649947D96DFDAC14F6F",1)</v>
      </c>
      <c r="AA202" s="10" t="s">
        <v>34</v>
      </c>
      <c r="AB202" s="10" t="s">
        <v>578</v>
      </c>
      <c r="AC202" s="10"/>
    </row>
    <row r="203" s="2" customFormat="1" ht="121.7" spans="1:29">
      <c r="A203" s="10" t="s">
        <v>29</v>
      </c>
      <c r="B203" s="10" t="s">
        <v>332</v>
      </c>
      <c r="C203" s="28" t="s">
        <v>412</v>
      </c>
      <c r="D203" s="29" t="s">
        <v>269</v>
      </c>
      <c r="E203" s="59"/>
      <c r="F203" s="29"/>
      <c r="G203" s="33"/>
      <c r="H203" s="28"/>
      <c r="I203" s="10"/>
      <c r="J203" s="10"/>
      <c r="K203" s="10"/>
      <c r="L203" s="10"/>
      <c r="M203" s="10"/>
      <c r="N203" s="10"/>
      <c r="O203" s="10"/>
      <c r="P203" s="10"/>
      <c r="Q203" s="10"/>
      <c r="R203" s="10"/>
      <c r="S203" s="63" t="s">
        <v>579</v>
      </c>
      <c r="T203" s="4" t="s">
        <v>32</v>
      </c>
      <c r="U203" s="63" t="s">
        <v>579</v>
      </c>
      <c r="V203" s="10" t="s">
        <v>33</v>
      </c>
      <c r="W203" s="23"/>
      <c r="X203" s="63" t="s">
        <v>579</v>
      </c>
      <c r="Y203" s="4" t="s">
        <v>32</v>
      </c>
      <c r="Z203" s="10" t="str">
        <f>_xlfn.DISPIMG("ID_33F5B8AF82934D73839325518EC87BDA",1)</f>
        <v>=DISPIMG("ID_33F5B8AF82934D73839325518EC87BDA",1)</v>
      </c>
      <c r="AA203" s="10" t="s">
        <v>34</v>
      </c>
      <c r="AB203" s="10" t="s">
        <v>580</v>
      </c>
      <c r="AC203" s="10"/>
    </row>
    <row r="204" s="2" customFormat="1" ht="125.2" spans="1:29">
      <c r="A204" s="10" t="s">
        <v>29</v>
      </c>
      <c r="B204" s="10" t="s">
        <v>332</v>
      </c>
      <c r="C204" s="28" t="s">
        <v>412</v>
      </c>
      <c r="D204" s="29" t="s">
        <v>269</v>
      </c>
      <c r="E204" s="59"/>
      <c r="F204" s="28"/>
      <c r="G204" s="33"/>
      <c r="H204" s="28"/>
      <c r="I204" s="10"/>
      <c r="J204" s="10"/>
      <c r="K204" s="10"/>
      <c r="L204" s="10"/>
      <c r="M204" s="10"/>
      <c r="N204" s="10"/>
      <c r="O204" s="10"/>
      <c r="P204" s="10"/>
      <c r="Q204" s="10"/>
      <c r="R204" s="10"/>
      <c r="S204" s="63" t="s">
        <v>581</v>
      </c>
      <c r="T204" s="4" t="s">
        <v>32</v>
      </c>
      <c r="U204" s="63" t="s">
        <v>581</v>
      </c>
      <c r="V204" s="10" t="s">
        <v>33</v>
      </c>
      <c r="W204" s="23"/>
      <c r="X204" s="63" t="s">
        <v>581</v>
      </c>
      <c r="Y204" s="4" t="s">
        <v>32</v>
      </c>
      <c r="Z204" s="10" t="str">
        <f>_xlfn.DISPIMG("ID_0E55897FFD054C7AA759BECB9BAFFF61",1)</f>
        <v>=DISPIMG("ID_0E55897FFD054C7AA759BECB9BAFFF61",1)</v>
      </c>
      <c r="AA204" s="10" t="s">
        <v>34</v>
      </c>
      <c r="AB204" s="10" t="s">
        <v>582</v>
      </c>
      <c r="AC204" s="10"/>
    </row>
    <row r="205" s="2" customFormat="1" ht="114.8" spans="1:29">
      <c r="A205" s="10" t="s">
        <v>29</v>
      </c>
      <c r="B205" s="10" t="s">
        <v>332</v>
      </c>
      <c r="C205" s="28" t="s">
        <v>412</v>
      </c>
      <c r="D205" s="29" t="s">
        <v>269</v>
      </c>
      <c r="E205" s="59"/>
      <c r="F205" s="28"/>
      <c r="G205" s="33"/>
      <c r="H205" s="28" t="s">
        <v>420</v>
      </c>
      <c r="I205" s="10"/>
      <c r="J205" s="10"/>
      <c r="K205" s="10"/>
      <c r="L205" s="10"/>
      <c r="M205" s="10"/>
      <c r="N205" s="10"/>
      <c r="O205" s="10"/>
      <c r="P205" s="10"/>
      <c r="Q205" s="10"/>
      <c r="R205" s="10"/>
      <c r="S205" s="63" t="s">
        <v>583</v>
      </c>
      <c r="T205" s="4" t="s">
        <v>32</v>
      </c>
      <c r="U205" s="63" t="s">
        <v>583</v>
      </c>
      <c r="V205" s="10" t="s">
        <v>33</v>
      </c>
      <c r="W205" s="23"/>
      <c r="X205" s="63" t="s">
        <v>583</v>
      </c>
      <c r="Y205" s="4" t="s">
        <v>32</v>
      </c>
      <c r="Z205" s="10" t="str">
        <f>_xlfn.DISPIMG("ID_3997FF3949D74912B5A5381A9E45F1B7",1)</f>
        <v>=DISPIMG("ID_3997FF3949D74912B5A5381A9E45F1B7",1)</v>
      </c>
      <c r="AA205" s="10" t="s">
        <v>34</v>
      </c>
      <c r="AB205" s="10" t="s">
        <v>584</v>
      </c>
      <c r="AC205" s="10"/>
    </row>
    <row r="206" s="2" customFormat="1" ht="66" spans="1:29">
      <c r="A206" s="10" t="s">
        <v>29</v>
      </c>
      <c r="B206" s="10" t="s">
        <v>332</v>
      </c>
      <c r="C206" s="28" t="s">
        <v>412</v>
      </c>
      <c r="D206" s="29" t="s">
        <v>269</v>
      </c>
      <c r="E206" s="59"/>
      <c r="F206" s="28"/>
      <c r="G206" s="33"/>
      <c r="H206" s="28"/>
      <c r="I206" s="10"/>
      <c r="J206" s="10"/>
      <c r="K206" s="10"/>
      <c r="L206" s="10"/>
      <c r="M206" s="10"/>
      <c r="N206" s="10"/>
      <c r="O206" s="10"/>
      <c r="P206" s="10"/>
      <c r="Q206" s="10"/>
      <c r="R206" s="10"/>
      <c r="S206" s="63" t="s">
        <v>585</v>
      </c>
      <c r="T206" s="4" t="s">
        <v>32</v>
      </c>
      <c r="U206" s="63" t="s">
        <v>585</v>
      </c>
      <c r="V206" s="10" t="s">
        <v>33</v>
      </c>
      <c r="W206" s="23"/>
      <c r="X206" s="63" t="s">
        <v>585</v>
      </c>
      <c r="Y206" s="4" t="s">
        <v>32</v>
      </c>
      <c r="Z206" s="10" t="str">
        <f>_xlfn.DISPIMG("ID_DA190606C1E14FB099861FA8581CC7D0",1)</f>
        <v>=DISPIMG("ID_DA190606C1E14FB099861FA8581CC7D0",1)</v>
      </c>
      <c r="AA206" s="10" t="s">
        <v>34</v>
      </c>
      <c r="AB206" s="10" t="s">
        <v>586</v>
      </c>
      <c r="AC206" s="10"/>
    </row>
    <row r="207" s="2" customFormat="1" ht="66" spans="1:29">
      <c r="A207" s="10" t="s">
        <v>29</v>
      </c>
      <c r="B207" s="10" t="s">
        <v>332</v>
      </c>
      <c r="C207" s="28" t="s">
        <v>412</v>
      </c>
      <c r="D207" s="29" t="s">
        <v>269</v>
      </c>
      <c r="E207" s="59"/>
      <c r="F207" s="28"/>
      <c r="G207" s="33"/>
      <c r="H207" s="28"/>
      <c r="I207" s="10"/>
      <c r="J207" s="10"/>
      <c r="K207" s="10"/>
      <c r="L207" s="10"/>
      <c r="M207" s="10"/>
      <c r="N207" s="10"/>
      <c r="O207" s="10"/>
      <c r="P207" s="10"/>
      <c r="Q207" s="10"/>
      <c r="R207" s="10"/>
      <c r="S207" s="63" t="s">
        <v>587</v>
      </c>
      <c r="T207" s="4" t="s">
        <v>32</v>
      </c>
      <c r="U207" s="63" t="s">
        <v>587</v>
      </c>
      <c r="V207" s="10" t="s">
        <v>33</v>
      </c>
      <c r="W207" s="23"/>
      <c r="X207" s="63" t="s">
        <v>587</v>
      </c>
      <c r="Y207" s="4" t="s">
        <v>32</v>
      </c>
      <c r="Z207" s="10" t="str">
        <f>_xlfn.DISPIMG("ID_EC127A875A64460198AE419FCEE84D01",1)</f>
        <v>=DISPIMG("ID_EC127A875A64460198AE419FCEE84D01",1)</v>
      </c>
      <c r="AA207" s="10" t="s">
        <v>34</v>
      </c>
      <c r="AB207" s="10" t="s">
        <v>588</v>
      </c>
      <c r="AC207" s="10"/>
    </row>
    <row r="208" s="2" customFormat="1" ht="60" spans="1:29">
      <c r="A208" s="10" t="s">
        <v>29</v>
      </c>
      <c r="B208" s="10" t="s">
        <v>332</v>
      </c>
      <c r="C208" s="28" t="s">
        <v>412</v>
      </c>
      <c r="D208" s="29" t="s">
        <v>269</v>
      </c>
      <c r="E208" s="59"/>
      <c r="F208" s="28"/>
      <c r="G208" s="33"/>
      <c r="H208" s="28"/>
      <c r="I208" s="10"/>
      <c r="J208" s="10"/>
      <c r="K208" s="10"/>
      <c r="L208" s="10"/>
      <c r="M208" s="10"/>
      <c r="N208" s="10"/>
      <c r="O208" s="10"/>
      <c r="P208" s="10"/>
      <c r="Q208" s="10"/>
      <c r="R208" s="10"/>
      <c r="S208" s="63" t="s">
        <v>589</v>
      </c>
      <c r="T208" s="4" t="s">
        <v>32</v>
      </c>
      <c r="U208" s="63" t="s">
        <v>589</v>
      </c>
      <c r="V208" s="10" t="s">
        <v>33</v>
      </c>
      <c r="W208" s="23"/>
      <c r="X208" s="63" t="s">
        <v>589</v>
      </c>
      <c r="Y208" s="4" t="s">
        <v>32</v>
      </c>
      <c r="Z208" s="10" t="str">
        <f>_xlfn.DISPIMG("ID_B6894A42D99143B39EFCF734F7165674",1)</f>
        <v>=DISPIMG("ID_B6894A42D99143B39EFCF734F7165674",1)</v>
      </c>
      <c r="AA208" s="10" t="s">
        <v>34</v>
      </c>
      <c r="AB208" s="10" t="s">
        <v>590</v>
      </c>
      <c r="AC208" s="10"/>
    </row>
    <row r="209" s="2" customFormat="1" ht="124.5" spans="1:29">
      <c r="A209" s="10" t="s">
        <v>29</v>
      </c>
      <c r="B209" s="10" t="s">
        <v>332</v>
      </c>
      <c r="C209" s="28" t="s">
        <v>412</v>
      </c>
      <c r="D209" s="29" t="s">
        <v>269</v>
      </c>
      <c r="E209" s="59"/>
      <c r="F209" s="28"/>
      <c r="G209" s="33"/>
      <c r="H209" s="28"/>
      <c r="I209" s="10"/>
      <c r="J209" s="10"/>
      <c r="K209" s="10"/>
      <c r="L209" s="10"/>
      <c r="M209" s="10"/>
      <c r="N209" s="10"/>
      <c r="O209" s="10"/>
      <c r="P209" s="10"/>
      <c r="Q209" s="10"/>
      <c r="R209" s="10"/>
      <c r="S209" s="63" t="s">
        <v>591</v>
      </c>
      <c r="T209" s="4" t="s">
        <v>32</v>
      </c>
      <c r="U209" s="63" t="s">
        <v>591</v>
      </c>
      <c r="V209" s="10" t="s">
        <v>33</v>
      </c>
      <c r="W209" s="23"/>
      <c r="X209" s="63" t="s">
        <v>591</v>
      </c>
      <c r="Y209" s="4" t="s">
        <v>32</v>
      </c>
      <c r="Z209" s="10" t="str">
        <f>_xlfn.DISPIMG("ID_E68AF367D4064BFCB914414727E05149",1)</f>
        <v>=DISPIMG("ID_E68AF367D4064BFCB914414727E05149",1)</v>
      </c>
      <c r="AA209" s="10" t="s">
        <v>34</v>
      </c>
      <c r="AB209" s="10" t="s">
        <v>592</v>
      </c>
      <c r="AC209" s="10"/>
    </row>
    <row r="210" s="2" customFormat="1" ht="123.75" spans="1:29">
      <c r="A210" s="10" t="s">
        <v>29</v>
      </c>
      <c r="B210" s="10" t="s">
        <v>332</v>
      </c>
      <c r="C210" s="28" t="s">
        <v>412</v>
      </c>
      <c r="D210" s="29" t="s">
        <v>269</v>
      </c>
      <c r="E210" s="59"/>
      <c r="F210" s="28"/>
      <c r="G210" s="33"/>
      <c r="H210" s="28"/>
      <c r="I210" s="10"/>
      <c r="J210" s="10"/>
      <c r="K210" s="10"/>
      <c r="L210" s="10"/>
      <c r="M210" s="10"/>
      <c r="N210" s="10"/>
      <c r="O210" s="10"/>
      <c r="P210" s="10"/>
      <c r="Q210" s="10"/>
      <c r="R210" s="10"/>
      <c r="S210" s="63" t="s">
        <v>593</v>
      </c>
      <c r="T210" s="4" t="s">
        <v>32</v>
      </c>
      <c r="U210" s="63" t="s">
        <v>593</v>
      </c>
      <c r="V210" s="10" t="s">
        <v>33</v>
      </c>
      <c r="W210" s="23"/>
      <c r="X210" s="63" t="s">
        <v>593</v>
      </c>
      <c r="Y210" s="4" t="s">
        <v>32</v>
      </c>
      <c r="Z210" s="10" t="str">
        <f>_xlfn.DISPIMG("ID_822AAD86014A4172A8C5DF8FDFC0A661",1)</f>
        <v>=DISPIMG("ID_822AAD86014A4172A8C5DF8FDFC0A661",1)</v>
      </c>
      <c r="AA210" s="10" t="s">
        <v>34</v>
      </c>
      <c r="AB210" s="10" t="s">
        <v>594</v>
      </c>
      <c r="AC210" s="10"/>
    </row>
    <row r="211" s="2" customFormat="1" ht="125" spans="1:29">
      <c r="A211" s="10" t="s">
        <v>29</v>
      </c>
      <c r="B211" s="10" t="s">
        <v>332</v>
      </c>
      <c r="C211" s="28" t="s">
        <v>412</v>
      </c>
      <c r="D211" s="29" t="s">
        <v>269</v>
      </c>
      <c r="E211" s="59"/>
      <c r="F211" s="28"/>
      <c r="G211" s="33"/>
      <c r="H211" s="28"/>
      <c r="I211" s="10"/>
      <c r="J211" s="10"/>
      <c r="K211" s="10"/>
      <c r="L211" s="10"/>
      <c r="M211" s="10"/>
      <c r="N211" s="10"/>
      <c r="O211" s="10"/>
      <c r="P211" s="10"/>
      <c r="Q211" s="10"/>
      <c r="R211" s="10"/>
      <c r="S211" s="63" t="s">
        <v>595</v>
      </c>
      <c r="T211" s="4" t="s">
        <v>32</v>
      </c>
      <c r="U211" s="63" t="s">
        <v>595</v>
      </c>
      <c r="V211" s="10" t="s">
        <v>33</v>
      </c>
      <c r="W211" s="23"/>
      <c r="X211" s="63" t="s">
        <v>595</v>
      </c>
      <c r="Y211" s="4" t="s">
        <v>32</v>
      </c>
      <c r="Z211" s="10" t="str">
        <f>_xlfn.DISPIMG("ID_825DAAC5BC174752851C0ADAB88A90A2",1)</f>
        <v>=DISPIMG("ID_825DAAC5BC174752851C0ADAB88A90A2",1)</v>
      </c>
      <c r="AA211" s="10" t="s">
        <v>34</v>
      </c>
      <c r="AB211" s="10" t="s">
        <v>596</v>
      </c>
      <c r="AC211" s="10"/>
    </row>
    <row r="212" s="2" customFormat="1" ht="122" spans="1:29">
      <c r="A212" s="10" t="s">
        <v>29</v>
      </c>
      <c r="B212" s="10" t="s">
        <v>332</v>
      </c>
      <c r="C212" s="28" t="s">
        <v>412</v>
      </c>
      <c r="D212" s="29" t="s">
        <v>269</v>
      </c>
      <c r="E212" s="59"/>
      <c r="F212" s="28"/>
      <c r="G212" s="33"/>
      <c r="H212" s="28"/>
      <c r="I212" s="10"/>
      <c r="J212" s="10"/>
      <c r="K212" s="10"/>
      <c r="L212" s="10"/>
      <c r="M212" s="10"/>
      <c r="N212" s="10"/>
      <c r="O212" s="10"/>
      <c r="P212" s="10"/>
      <c r="Q212" s="10"/>
      <c r="R212" s="10"/>
      <c r="S212" s="63" t="s">
        <v>597</v>
      </c>
      <c r="T212" s="4" t="s">
        <v>32</v>
      </c>
      <c r="U212" s="63" t="s">
        <v>597</v>
      </c>
      <c r="V212" s="10" t="s">
        <v>33</v>
      </c>
      <c r="W212" s="23"/>
      <c r="X212" s="63" t="s">
        <v>597</v>
      </c>
      <c r="Y212" s="4" t="s">
        <v>32</v>
      </c>
      <c r="Z212" s="10" t="str">
        <f>_xlfn.DISPIMG("ID_36D78F6E45BF49E9A082040D66BB5272",1)</f>
        <v>=DISPIMG("ID_36D78F6E45BF49E9A082040D66BB5272",1)</v>
      </c>
      <c r="AA212" s="10" t="s">
        <v>34</v>
      </c>
      <c r="AB212" s="10" t="s">
        <v>598</v>
      </c>
      <c r="AC212" s="10"/>
    </row>
    <row r="213" s="2" customFormat="1" ht="125.5" spans="1:29">
      <c r="A213" s="10" t="s">
        <v>29</v>
      </c>
      <c r="B213" s="10" t="s">
        <v>332</v>
      </c>
      <c r="C213" s="28" t="s">
        <v>412</v>
      </c>
      <c r="D213" s="29" t="s">
        <v>269</v>
      </c>
      <c r="E213" s="59"/>
      <c r="F213" s="28"/>
      <c r="G213" s="33"/>
      <c r="H213" s="28"/>
      <c r="I213" s="10"/>
      <c r="J213" s="10"/>
      <c r="K213" s="10"/>
      <c r="L213" s="10"/>
      <c r="M213" s="10"/>
      <c r="N213" s="10"/>
      <c r="O213" s="10"/>
      <c r="P213" s="10"/>
      <c r="Q213" s="10"/>
      <c r="R213" s="10"/>
      <c r="S213" s="63" t="s">
        <v>599</v>
      </c>
      <c r="T213" s="4" t="s">
        <v>32</v>
      </c>
      <c r="U213" s="63" t="s">
        <v>599</v>
      </c>
      <c r="V213" s="10" t="s">
        <v>33</v>
      </c>
      <c r="W213" s="23"/>
      <c r="X213" s="63" t="s">
        <v>599</v>
      </c>
      <c r="Y213" s="4" t="s">
        <v>32</v>
      </c>
      <c r="Z213" s="10" t="str">
        <f>_xlfn.DISPIMG("ID_82B4BCFF55C84DEC883B672A0977766C",1)</f>
        <v>=DISPIMG("ID_82B4BCFF55C84DEC883B672A0977766C",1)</v>
      </c>
      <c r="AA213" s="10" t="s">
        <v>34</v>
      </c>
      <c r="AB213" s="10" t="s">
        <v>600</v>
      </c>
      <c r="AC213" s="10"/>
    </row>
    <row r="214" s="2" customFormat="1" ht="134.1" spans="1:29">
      <c r="A214" s="10" t="s">
        <v>29</v>
      </c>
      <c r="B214" s="10" t="s">
        <v>332</v>
      </c>
      <c r="C214" s="28" t="s">
        <v>412</v>
      </c>
      <c r="D214" s="29" t="s">
        <v>269</v>
      </c>
      <c r="E214" s="59"/>
      <c r="F214" s="28"/>
      <c r="G214" s="33"/>
      <c r="H214" s="28" t="s">
        <v>601</v>
      </c>
      <c r="I214" s="10"/>
      <c r="J214" s="10"/>
      <c r="K214" s="10"/>
      <c r="L214" s="10"/>
      <c r="M214" s="10"/>
      <c r="N214" s="10"/>
      <c r="O214" s="10"/>
      <c r="P214" s="10"/>
      <c r="Q214" s="10"/>
      <c r="R214" s="10"/>
      <c r="S214" s="63" t="s">
        <v>602</v>
      </c>
      <c r="T214" s="4" t="s">
        <v>32</v>
      </c>
      <c r="U214" s="63" t="s">
        <v>602</v>
      </c>
      <c r="V214" s="10" t="s">
        <v>33</v>
      </c>
      <c r="W214" s="23"/>
      <c r="X214" s="63" t="s">
        <v>602</v>
      </c>
      <c r="Y214" s="4" t="s">
        <v>32</v>
      </c>
      <c r="Z214" s="10" t="str">
        <f>_xlfn.DISPIMG("ID_D92B05CE03004344A628C905468B1EDA",1)</f>
        <v>=DISPIMG("ID_D92B05CE03004344A628C905468B1EDA",1)</v>
      </c>
      <c r="AA214" s="10" t="s">
        <v>34</v>
      </c>
      <c r="AB214" s="10" t="s">
        <v>603</v>
      </c>
      <c r="AC214" s="10"/>
    </row>
    <row r="215" s="2" customFormat="1" ht="158.15" spans="1:29">
      <c r="A215" s="10" t="s">
        <v>29</v>
      </c>
      <c r="B215" s="10" t="s">
        <v>332</v>
      </c>
      <c r="C215" s="28" t="s">
        <v>412</v>
      </c>
      <c r="D215" s="29" t="s">
        <v>269</v>
      </c>
      <c r="E215" s="59"/>
      <c r="F215" s="28"/>
      <c r="G215" s="33"/>
      <c r="H215" s="28"/>
      <c r="I215" s="10"/>
      <c r="J215" s="10"/>
      <c r="K215" s="10"/>
      <c r="L215" s="10"/>
      <c r="M215" s="10"/>
      <c r="N215" s="10"/>
      <c r="O215" s="10"/>
      <c r="P215" s="10"/>
      <c r="Q215" s="10"/>
      <c r="R215" s="10"/>
      <c r="S215" s="62" t="s">
        <v>604</v>
      </c>
      <c r="T215" s="4" t="s">
        <v>32</v>
      </c>
      <c r="U215" s="62" t="s">
        <v>604</v>
      </c>
      <c r="V215" s="10" t="s">
        <v>33</v>
      </c>
      <c r="W215" s="23"/>
      <c r="X215" s="62" t="s">
        <v>604</v>
      </c>
      <c r="Y215" s="4" t="s">
        <v>32</v>
      </c>
      <c r="Z215" s="10" t="str">
        <f>_xlfn.DISPIMG("ID_B82DDCC6F9954AFCAC19FC11354B07FD",1)</f>
        <v>=DISPIMG("ID_B82DDCC6F9954AFCAC19FC11354B07FD",1)</v>
      </c>
      <c r="AA215" s="10" t="s">
        <v>34</v>
      </c>
      <c r="AB215" s="10" t="s">
        <v>605</v>
      </c>
      <c r="AC215" s="10"/>
    </row>
    <row r="216" s="2" customFormat="1" ht="49.5" spans="1:29">
      <c r="A216" s="10" t="s">
        <v>29</v>
      </c>
      <c r="B216" s="10" t="s">
        <v>332</v>
      </c>
      <c r="C216" s="28" t="s">
        <v>412</v>
      </c>
      <c r="D216" s="29" t="s">
        <v>269</v>
      </c>
      <c r="E216" s="59"/>
      <c r="F216" s="28"/>
      <c r="G216" s="33"/>
      <c r="H216" s="28"/>
      <c r="I216" s="10"/>
      <c r="J216" s="10"/>
      <c r="K216" s="10"/>
      <c r="L216" s="10"/>
      <c r="M216" s="10"/>
      <c r="N216" s="10"/>
      <c r="O216" s="10"/>
      <c r="P216" s="10"/>
      <c r="Q216" s="10"/>
      <c r="R216" s="10"/>
      <c r="S216" s="62" t="s">
        <v>606</v>
      </c>
      <c r="T216" s="4" t="s">
        <v>32</v>
      </c>
      <c r="U216" s="62" t="s">
        <v>606</v>
      </c>
      <c r="V216" s="10" t="s">
        <v>33</v>
      </c>
      <c r="W216" s="23"/>
      <c r="X216" s="62" t="s">
        <v>606</v>
      </c>
      <c r="Y216" s="4" t="s">
        <v>32</v>
      </c>
      <c r="Z216" s="10" t="str">
        <f>_xlfn.DISPIMG("ID_24618E05017148728D80D657CB13C9EF",1)</f>
        <v>=DISPIMG("ID_24618E05017148728D80D657CB13C9EF",1)</v>
      </c>
      <c r="AA216" s="10" t="s">
        <v>34</v>
      </c>
      <c r="AB216" s="10" t="s">
        <v>607</v>
      </c>
      <c r="AC216" s="10"/>
    </row>
    <row r="217" s="2" customFormat="1" ht="49.5" spans="1:29">
      <c r="A217" s="10" t="s">
        <v>29</v>
      </c>
      <c r="B217" s="10" t="s">
        <v>332</v>
      </c>
      <c r="C217" s="28" t="s">
        <v>412</v>
      </c>
      <c r="D217" s="29" t="s">
        <v>269</v>
      </c>
      <c r="E217" s="59"/>
      <c r="F217" s="28"/>
      <c r="G217" s="33"/>
      <c r="H217" s="28" t="s">
        <v>438</v>
      </c>
      <c r="I217" s="10"/>
      <c r="J217" s="10"/>
      <c r="K217" s="10"/>
      <c r="L217" s="10"/>
      <c r="M217" s="10"/>
      <c r="N217" s="10"/>
      <c r="O217" s="10"/>
      <c r="P217" s="10"/>
      <c r="Q217" s="10"/>
      <c r="R217" s="10"/>
      <c r="S217" s="63" t="s">
        <v>438</v>
      </c>
      <c r="T217" s="4" t="s">
        <v>32</v>
      </c>
      <c r="U217" s="63" t="s">
        <v>438</v>
      </c>
      <c r="V217" s="10" t="s">
        <v>33</v>
      </c>
      <c r="W217" s="23"/>
      <c r="X217" s="63" t="s">
        <v>438</v>
      </c>
      <c r="Y217" s="4" t="s">
        <v>32</v>
      </c>
      <c r="Z217" s="10" t="str">
        <f>_xlfn.DISPIMG("ID_966CA3F5A60B44BEB250943E490C3894",1)</f>
        <v>=DISPIMG("ID_966CA3F5A60B44BEB250943E490C3894",1)</v>
      </c>
      <c r="AA217" s="10" t="s">
        <v>34</v>
      </c>
      <c r="AB217" s="10" t="s">
        <v>608</v>
      </c>
      <c r="AC217" s="10"/>
    </row>
    <row r="218" s="2" customFormat="1" ht="66" spans="1:29">
      <c r="A218" s="10" t="s">
        <v>29</v>
      </c>
      <c r="B218" s="10" t="s">
        <v>332</v>
      </c>
      <c r="C218" s="28" t="s">
        <v>412</v>
      </c>
      <c r="D218" s="29" t="s">
        <v>269</v>
      </c>
      <c r="E218" s="59"/>
      <c r="F218" s="28"/>
      <c r="G218" s="33"/>
      <c r="H218" s="28"/>
      <c r="I218" s="10"/>
      <c r="J218" s="10"/>
      <c r="K218" s="10"/>
      <c r="L218" s="10"/>
      <c r="M218" s="10"/>
      <c r="N218" s="10"/>
      <c r="O218" s="10"/>
      <c r="P218" s="10"/>
      <c r="Q218" s="10"/>
      <c r="R218" s="10"/>
      <c r="S218" s="63" t="s">
        <v>609</v>
      </c>
      <c r="T218" s="4" t="s">
        <v>68</v>
      </c>
      <c r="U218" s="63" t="s">
        <v>610</v>
      </c>
      <c r="V218" s="10" t="s">
        <v>33</v>
      </c>
      <c r="W218" s="23"/>
      <c r="X218" s="63" t="s">
        <v>609</v>
      </c>
      <c r="Y218" s="4" t="s">
        <v>68</v>
      </c>
      <c r="Z218" s="10" t="str">
        <f>_xlfn.DISPIMG("ID_F2EEB39A340A4F458F7432C349D441E6",1)</f>
        <v>=DISPIMG("ID_F2EEB39A340A4F458F7432C349D441E6",1)</v>
      </c>
      <c r="AA218" s="10" t="s">
        <v>34</v>
      </c>
      <c r="AB218" s="10" t="s">
        <v>611</v>
      </c>
      <c r="AC218" s="10"/>
    </row>
    <row r="219" s="2" customFormat="1" ht="60" spans="1:29">
      <c r="A219" s="10" t="s">
        <v>29</v>
      </c>
      <c r="B219" s="10" t="s">
        <v>332</v>
      </c>
      <c r="C219" s="28" t="s">
        <v>412</v>
      </c>
      <c r="D219" s="29" t="s">
        <v>269</v>
      </c>
      <c r="E219" s="59"/>
      <c r="F219" s="28"/>
      <c r="G219" s="37"/>
      <c r="H219" s="29" t="s">
        <v>445</v>
      </c>
      <c r="I219" s="10"/>
      <c r="J219" s="10"/>
      <c r="K219" s="10"/>
      <c r="L219" s="10"/>
      <c r="M219" s="10"/>
      <c r="N219" s="10"/>
      <c r="O219" s="10"/>
      <c r="P219" s="10"/>
      <c r="Q219" s="10"/>
      <c r="R219" s="10"/>
      <c r="S219" s="63" t="s">
        <v>612</v>
      </c>
      <c r="T219" s="4" t="s">
        <v>32</v>
      </c>
      <c r="U219" s="63" t="s">
        <v>612</v>
      </c>
      <c r="V219" s="10" t="s">
        <v>33</v>
      </c>
      <c r="W219" s="23"/>
      <c r="X219" s="63" t="s">
        <v>612</v>
      </c>
      <c r="Y219" s="4" t="s">
        <v>32</v>
      </c>
      <c r="Z219" s="10" t="str">
        <f>_xlfn.DISPIMG("ID_37DA339FE63D42BCA9BFEA6F49D76710",1)</f>
        <v>=DISPIMG("ID_37DA339FE63D42BCA9BFEA6F49D76710",1)</v>
      </c>
      <c r="AA219" s="10" t="s">
        <v>34</v>
      </c>
      <c r="AB219" s="10" t="s">
        <v>613</v>
      </c>
      <c r="AC219" s="10"/>
    </row>
    <row r="220" s="2" customFormat="1" ht="66" spans="1:29">
      <c r="A220" s="10" t="s">
        <v>29</v>
      </c>
      <c r="B220" s="10" t="s">
        <v>332</v>
      </c>
      <c r="C220" s="28" t="s">
        <v>412</v>
      </c>
      <c r="D220" s="29" t="s">
        <v>269</v>
      </c>
      <c r="E220" s="59"/>
      <c r="F220" s="28"/>
      <c r="G220" s="37"/>
      <c r="H220" s="29"/>
      <c r="I220" s="10"/>
      <c r="J220" s="10"/>
      <c r="K220" s="10"/>
      <c r="L220" s="10"/>
      <c r="M220" s="10"/>
      <c r="N220" s="10"/>
      <c r="O220" s="10"/>
      <c r="P220" s="10"/>
      <c r="Q220" s="10"/>
      <c r="R220" s="10"/>
      <c r="S220" s="63" t="s">
        <v>614</v>
      </c>
      <c r="T220" s="4" t="s">
        <v>32</v>
      </c>
      <c r="U220" s="63" t="s">
        <v>614</v>
      </c>
      <c r="V220" s="10" t="s">
        <v>33</v>
      </c>
      <c r="W220" s="23"/>
      <c r="X220" s="63" t="s">
        <v>614</v>
      </c>
      <c r="Y220" s="4" t="s">
        <v>32</v>
      </c>
      <c r="Z220" s="10" t="str">
        <f>_xlfn.DISPIMG("ID_47B5E14623C74538A209AC326B929115",1)</f>
        <v>=DISPIMG("ID_47B5E14623C74538A209AC326B929115",1)</v>
      </c>
      <c r="AA220" s="10" t="s">
        <v>34</v>
      </c>
      <c r="AB220" s="10" t="s">
        <v>615</v>
      </c>
      <c r="AC220" s="10"/>
    </row>
    <row r="221" s="2" customFormat="1" ht="99" spans="1:29">
      <c r="A221" s="10" t="s">
        <v>29</v>
      </c>
      <c r="B221" s="10" t="s">
        <v>332</v>
      </c>
      <c r="C221" s="28" t="s">
        <v>412</v>
      </c>
      <c r="D221" s="29" t="s">
        <v>269</v>
      </c>
      <c r="E221" s="59"/>
      <c r="F221" s="28"/>
      <c r="G221" s="37"/>
      <c r="H221" s="29"/>
      <c r="I221" s="10"/>
      <c r="J221" s="10"/>
      <c r="K221" s="10"/>
      <c r="L221" s="10"/>
      <c r="M221" s="10"/>
      <c r="N221" s="10"/>
      <c r="O221" s="10"/>
      <c r="P221" s="10"/>
      <c r="Q221" s="10"/>
      <c r="R221" s="10"/>
      <c r="S221" s="63" t="s">
        <v>616</v>
      </c>
      <c r="T221" s="10" t="s">
        <v>68</v>
      </c>
      <c r="U221" s="63" t="s">
        <v>515</v>
      </c>
      <c r="V221" s="10" t="s">
        <v>33</v>
      </c>
      <c r="W221" s="23"/>
      <c r="X221" s="63" t="s">
        <v>616</v>
      </c>
      <c r="Y221" s="10" t="s">
        <v>68</v>
      </c>
      <c r="Z221" s="10" t="str">
        <f>_xlfn.DISPIMG("ID_F1CC001D90C8483EBBA48BC11C174A78",1)</f>
        <v>=DISPIMG("ID_F1CC001D90C8483EBBA48BC11C174A78",1)</v>
      </c>
      <c r="AA221" s="10" t="s">
        <v>34</v>
      </c>
      <c r="AB221" s="10" t="s">
        <v>617</v>
      </c>
      <c r="AC221" s="10"/>
    </row>
    <row r="222" s="2" customFormat="1" ht="66" spans="1:29">
      <c r="A222" s="10" t="s">
        <v>29</v>
      </c>
      <c r="B222" s="10" t="s">
        <v>332</v>
      </c>
      <c r="C222" s="28" t="s">
        <v>412</v>
      </c>
      <c r="D222" s="29" t="s">
        <v>269</v>
      </c>
      <c r="E222" s="59"/>
      <c r="F222" s="28"/>
      <c r="G222" s="37"/>
      <c r="H222" s="29"/>
      <c r="I222" s="10"/>
      <c r="J222" s="10"/>
      <c r="K222" s="10"/>
      <c r="L222" s="10"/>
      <c r="M222" s="10"/>
      <c r="N222" s="10"/>
      <c r="O222" s="10"/>
      <c r="P222" s="10"/>
      <c r="Q222" s="10"/>
      <c r="R222" s="10"/>
      <c r="S222" s="63" t="s">
        <v>618</v>
      </c>
      <c r="T222" s="10" t="s">
        <v>32</v>
      </c>
      <c r="U222" s="63" t="s">
        <v>618</v>
      </c>
      <c r="V222" s="10" t="s">
        <v>33</v>
      </c>
      <c r="W222" s="23"/>
      <c r="X222" s="63" t="s">
        <v>618</v>
      </c>
      <c r="Y222" s="10" t="s">
        <v>32</v>
      </c>
      <c r="Z222" s="10" t="str">
        <f>_xlfn.DISPIMG("ID_7061120B231447EBA4DEE1D915E6B719",1)</f>
        <v>=DISPIMG("ID_7061120B231447EBA4DEE1D915E6B719",1)</v>
      </c>
      <c r="AA222" s="10" t="s">
        <v>34</v>
      </c>
      <c r="AB222" s="10" t="s">
        <v>619</v>
      </c>
      <c r="AC222" s="10"/>
    </row>
    <row r="223" s="2" customFormat="1" ht="66" spans="1:29">
      <c r="A223" s="10" t="s">
        <v>29</v>
      </c>
      <c r="B223" s="10" t="s">
        <v>332</v>
      </c>
      <c r="C223" s="28" t="s">
        <v>412</v>
      </c>
      <c r="D223" s="29" t="s">
        <v>269</v>
      </c>
      <c r="E223" s="59"/>
      <c r="F223" s="28"/>
      <c r="G223" s="37"/>
      <c r="H223" s="29"/>
      <c r="I223" s="10"/>
      <c r="J223" s="10"/>
      <c r="K223" s="10"/>
      <c r="L223" s="10"/>
      <c r="M223" s="10"/>
      <c r="N223" s="10"/>
      <c r="O223" s="10"/>
      <c r="P223" s="10"/>
      <c r="Q223" s="10"/>
      <c r="R223" s="10"/>
      <c r="S223" s="63" t="s">
        <v>620</v>
      </c>
      <c r="T223" s="4" t="s">
        <v>32</v>
      </c>
      <c r="U223" s="63" t="s">
        <v>620</v>
      </c>
      <c r="V223" s="10" t="s">
        <v>33</v>
      </c>
      <c r="W223" s="23"/>
      <c r="X223" s="63" t="s">
        <v>620</v>
      </c>
      <c r="Y223" s="4" t="s">
        <v>32</v>
      </c>
      <c r="Z223" s="10" t="str">
        <f>_xlfn.DISPIMG("ID_14F350BE16B341E3BFE3CA2007F5CFA0",1)</f>
        <v>=DISPIMG("ID_14F350BE16B341E3BFE3CA2007F5CFA0",1)</v>
      </c>
      <c r="AA223" s="10" t="s">
        <v>34</v>
      </c>
      <c r="AB223" s="10" t="s">
        <v>621</v>
      </c>
      <c r="AC223" s="10"/>
    </row>
    <row r="224" s="2" customFormat="1" ht="49.5" spans="1:29">
      <c r="A224" s="10" t="s">
        <v>29</v>
      </c>
      <c r="B224" s="10" t="s">
        <v>332</v>
      </c>
      <c r="C224" s="28" t="s">
        <v>412</v>
      </c>
      <c r="D224" s="29" t="s">
        <v>269</v>
      </c>
      <c r="E224" s="59"/>
      <c r="F224" s="28"/>
      <c r="G224" s="37"/>
      <c r="H224" s="29"/>
      <c r="I224" s="10"/>
      <c r="J224" s="10"/>
      <c r="K224" s="10"/>
      <c r="L224" s="10"/>
      <c r="M224" s="10"/>
      <c r="N224" s="10"/>
      <c r="O224" s="10"/>
      <c r="P224" s="10"/>
      <c r="Q224" s="10"/>
      <c r="R224" s="10"/>
      <c r="S224" s="63" t="s">
        <v>622</v>
      </c>
      <c r="T224" s="4" t="s">
        <v>32</v>
      </c>
      <c r="U224" s="63" t="s">
        <v>622</v>
      </c>
      <c r="V224" s="10" t="s">
        <v>33</v>
      </c>
      <c r="W224" s="23"/>
      <c r="X224" s="63" t="s">
        <v>622</v>
      </c>
      <c r="Y224" s="4" t="s">
        <v>32</v>
      </c>
      <c r="Z224" s="10" t="str">
        <f>_xlfn.DISPIMG("ID_3B5693C91B6146ED9CF2BFD948C51F9E",1)</f>
        <v>=DISPIMG("ID_3B5693C91B6146ED9CF2BFD948C51F9E",1)</v>
      </c>
      <c r="AA224" s="10" t="s">
        <v>34</v>
      </c>
      <c r="AB224" s="10" t="s">
        <v>623</v>
      </c>
      <c r="AC224" s="10"/>
    </row>
    <row r="225" s="2" customFormat="1" ht="49.5" spans="1:29">
      <c r="A225" s="10" t="s">
        <v>29</v>
      </c>
      <c r="B225" s="10" t="s">
        <v>332</v>
      </c>
      <c r="C225" s="28" t="s">
        <v>412</v>
      </c>
      <c r="D225" s="29" t="s">
        <v>269</v>
      </c>
      <c r="E225" s="59"/>
      <c r="F225" s="28"/>
      <c r="G225" s="33"/>
      <c r="H225" s="29"/>
      <c r="I225" s="10"/>
      <c r="J225" s="10"/>
      <c r="K225" s="10"/>
      <c r="L225" s="10"/>
      <c r="M225" s="10"/>
      <c r="N225" s="10"/>
      <c r="O225" s="10"/>
      <c r="P225" s="10"/>
      <c r="Q225" s="10"/>
      <c r="R225" s="10"/>
      <c r="S225" s="63" t="s">
        <v>624</v>
      </c>
      <c r="T225" s="4" t="s">
        <v>32</v>
      </c>
      <c r="U225" s="63" t="s">
        <v>624</v>
      </c>
      <c r="V225" s="10" t="s">
        <v>33</v>
      </c>
      <c r="W225" s="23"/>
      <c r="X225" s="63" t="s">
        <v>624</v>
      </c>
      <c r="Y225" s="4" t="s">
        <v>32</v>
      </c>
      <c r="Z225" s="10" t="str">
        <f>_xlfn.DISPIMG("ID_8A463D2C7B174C95A25F97A37F2DAA34",1)</f>
        <v>=DISPIMG("ID_8A463D2C7B174C95A25F97A37F2DAA34",1)</v>
      </c>
      <c r="AA225" s="10" t="s">
        <v>34</v>
      </c>
      <c r="AB225" s="10" t="s">
        <v>625</v>
      </c>
      <c r="AC225" s="10"/>
    </row>
    <row r="226" s="2" customFormat="1" ht="66" spans="1:29">
      <c r="A226" s="10" t="s">
        <v>29</v>
      </c>
      <c r="B226" s="10" t="s">
        <v>332</v>
      </c>
      <c r="C226" s="28" t="s">
        <v>412</v>
      </c>
      <c r="D226" s="29" t="s">
        <v>269</v>
      </c>
      <c r="E226" s="59"/>
      <c r="F226" s="28"/>
      <c r="G226" s="37"/>
      <c r="H226" s="29"/>
      <c r="I226" s="10"/>
      <c r="J226" s="10"/>
      <c r="K226" s="10"/>
      <c r="L226" s="10"/>
      <c r="M226" s="10"/>
      <c r="N226" s="10"/>
      <c r="O226" s="10"/>
      <c r="P226" s="10"/>
      <c r="Q226" s="10"/>
      <c r="R226" s="10"/>
      <c r="S226" s="63" t="s">
        <v>626</v>
      </c>
      <c r="T226" s="4" t="s">
        <v>32</v>
      </c>
      <c r="U226" s="63" t="s">
        <v>626</v>
      </c>
      <c r="V226" s="10" t="s">
        <v>33</v>
      </c>
      <c r="W226" s="23"/>
      <c r="X226" s="63" t="s">
        <v>626</v>
      </c>
      <c r="Y226" s="4" t="s">
        <v>32</v>
      </c>
      <c r="Z226" s="10" t="str">
        <f>_xlfn.DISPIMG("ID_3FE33215DA734C0A80AB463C4295AD9B",1)</f>
        <v>=DISPIMG("ID_3FE33215DA734C0A80AB463C4295AD9B",1)</v>
      </c>
      <c r="AA226" s="10" t="s">
        <v>34</v>
      </c>
      <c r="AB226" s="10" t="s">
        <v>627</v>
      </c>
      <c r="AC226" s="10"/>
    </row>
    <row r="227" s="2" customFormat="1" ht="49.5" spans="1:29">
      <c r="A227" s="10" t="s">
        <v>29</v>
      </c>
      <c r="B227" s="10" t="s">
        <v>332</v>
      </c>
      <c r="C227" s="28" t="s">
        <v>412</v>
      </c>
      <c r="D227" s="29" t="s">
        <v>269</v>
      </c>
      <c r="E227" s="59"/>
      <c r="F227" s="28"/>
      <c r="G227" s="37"/>
      <c r="H227" s="29"/>
      <c r="I227" s="10"/>
      <c r="J227" s="10"/>
      <c r="K227" s="10"/>
      <c r="L227" s="10"/>
      <c r="M227" s="10"/>
      <c r="N227" s="10"/>
      <c r="O227" s="10"/>
      <c r="P227" s="10"/>
      <c r="Q227" s="10"/>
      <c r="R227" s="10"/>
      <c r="S227" s="63" t="s">
        <v>628</v>
      </c>
      <c r="T227" s="4" t="s">
        <v>32</v>
      </c>
      <c r="U227" s="63" t="s">
        <v>628</v>
      </c>
      <c r="V227" s="10" t="s">
        <v>33</v>
      </c>
      <c r="W227" s="23"/>
      <c r="X227" s="63" t="s">
        <v>628</v>
      </c>
      <c r="Y227" s="4" t="s">
        <v>32</v>
      </c>
      <c r="Z227" s="10" t="str">
        <f>_xlfn.DISPIMG("ID_0C9D1217CE4D4639B51311307B392418",1)</f>
        <v>=DISPIMG("ID_0C9D1217CE4D4639B51311307B392418",1)</v>
      </c>
      <c r="AA227" s="10" t="s">
        <v>34</v>
      </c>
      <c r="AB227" s="10" t="s">
        <v>629</v>
      </c>
      <c r="AC227" s="10"/>
    </row>
    <row r="228" s="2" customFormat="1" ht="49.5" spans="1:29">
      <c r="A228" s="10" t="s">
        <v>29</v>
      </c>
      <c r="B228" s="10" t="s">
        <v>332</v>
      </c>
      <c r="C228" s="28" t="s">
        <v>412</v>
      </c>
      <c r="D228" s="29" t="s">
        <v>269</v>
      </c>
      <c r="E228" s="59"/>
      <c r="F228" s="28"/>
      <c r="G228" s="37"/>
      <c r="H228" s="29"/>
      <c r="I228" s="10"/>
      <c r="J228" s="10"/>
      <c r="K228" s="10"/>
      <c r="L228" s="10"/>
      <c r="M228" s="10"/>
      <c r="N228" s="10"/>
      <c r="O228" s="10"/>
      <c r="P228" s="10"/>
      <c r="Q228" s="10"/>
      <c r="R228" s="10"/>
      <c r="S228" s="63" t="s">
        <v>630</v>
      </c>
      <c r="T228" s="4" t="s">
        <v>32</v>
      </c>
      <c r="U228" s="63" t="s">
        <v>630</v>
      </c>
      <c r="V228" s="10" t="s">
        <v>33</v>
      </c>
      <c r="W228" s="23"/>
      <c r="X228" s="63" t="s">
        <v>630</v>
      </c>
      <c r="Y228" s="4" t="s">
        <v>32</v>
      </c>
      <c r="Z228" s="10" t="str">
        <f>_xlfn.DISPIMG("ID_E6637767CE6E4DEBB307D4D490023B94",1)</f>
        <v>=DISPIMG("ID_E6637767CE6E4DEBB307D4D490023B94",1)</v>
      </c>
      <c r="AA228" s="10" t="s">
        <v>34</v>
      </c>
      <c r="AB228" s="10" t="s">
        <v>631</v>
      </c>
      <c r="AC228" s="10"/>
    </row>
    <row r="229" s="2" customFormat="1" ht="49.5" spans="1:29">
      <c r="A229" s="10" t="s">
        <v>29</v>
      </c>
      <c r="B229" s="10" t="s">
        <v>332</v>
      </c>
      <c r="C229" s="28" t="s">
        <v>412</v>
      </c>
      <c r="D229" s="29" t="s">
        <v>269</v>
      </c>
      <c r="E229" s="59"/>
      <c r="F229" s="28"/>
      <c r="G229" s="37"/>
      <c r="H229" s="29"/>
      <c r="I229" s="10"/>
      <c r="J229" s="10"/>
      <c r="K229" s="10"/>
      <c r="L229" s="10"/>
      <c r="M229" s="10"/>
      <c r="N229" s="10"/>
      <c r="O229" s="10"/>
      <c r="P229" s="10"/>
      <c r="Q229" s="10"/>
      <c r="R229" s="10"/>
      <c r="S229" s="63" t="s">
        <v>632</v>
      </c>
      <c r="T229" s="4" t="s">
        <v>32</v>
      </c>
      <c r="U229" s="63" t="s">
        <v>632</v>
      </c>
      <c r="V229" s="10" t="s">
        <v>33</v>
      </c>
      <c r="W229" s="23"/>
      <c r="X229" s="63" t="s">
        <v>632</v>
      </c>
      <c r="Y229" s="4" t="s">
        <v>32</v>
      </c>
      <c r="Z229" s="10" t="str">
        <f>_xlfn.DISPIMG("ID_DABFE74E7C24461A857538E26EE7CB70",1)</f>
        <v>=DISPIMG("ID_DABFE74E7C24461A857538E26EE7CB70",1)</v>
      </c>
      <c r="AA229" s="10" t="s">
        <v>34</v>
      </c>
      <c r="AB229" s="10" t="s">
        <v>633</v>
      </c>
      <c r="AC229" s="10"/>
    </row>
    <row r="230" s="2" customFormat="1" ht="49.5" spans="1:29">
      <c r="A230" s="10" t="s">
        <v>29</v>
      </c>
      <c r="B230" s="10" t="s">
        <v>332</v>
      </c>
      <c r="C230" s="28" t="s">
        <v>412</v>
      </c>
      <c r="D230" s="29" t="s">
        <v>269</v>
      </c>
      <c r="E230" s="59"/>
      <c r="F230" s="28"/>
      <c r="G230" s="37"/>
      <c r="H230" s="29"/>
      <c r="I230" s="10"/>
      <c r="J230" s="10"/>
      <c r="K230" s="10"/>
      <c r="L230" s="10"/>
      <c r="M230" s="10"/>
      <c r="N230" s="10"/>
      <c r="O230" s="10"/>
      <c r="P230" s="10"/>
      <c r="Q230" s="10"/>
      <c r="R230" s="10"/>
      <c r="S230" s="63" t="s">
        <v>634</v>
      </c>
      <c r="T230" s="4" t="s">
        <v>32</v>
      </c>
      <c r="U230" s="63" t="s">
        <v>634</v>
      </c>
      <c r="V230" s="10" t="s">
        <v>33</v>
      </c>
      <c r="W230" s="23"/>
      <c r="X230" s="63" t="s">
        <v>634</v>
      </c>
      <c r="Y230" s="4" t="s">
        <v>32</v>
      </c>
      <c r="Z230" s="10" t="str">
        <f>_xlfn.DISPIMG("ID_E5C46C770C6A4434AD0378A59BC39BDB",1)</f>
        <v>=DISPIMG("ID_E5C46C770C6A4434AD0378A59BC39BDB",1)</v>
      </c>
      <c r="AA230" s="10" t="s">
        <v>34</v>
      </c>
      <c r="AB230" s="10" t="s">
        <v>635</v>
      </c>
      <c r="AC230" s="10"/>
    </row>
    <row r="231" s="2" customFormat="1" ht="49.5" spans="1:29">
      <c r="A231" s="10" t="s">
        <v>29</v>
      </c>
      <c r="B231" s="10" t="s">
        <v>332</v>
      </c>
      <c r="C231" s="28" t="s">
        <v>412</v>
      </c>
      <c r="D231" s="29" t="s">
        <v>269</v>
      </c>
      <c r="E231" s="59"/>
      <c r="F231" s="28"/>
      <c r="G231" s="37"/>
      <c r="H231" s="29"/>
      <c r="I231" s="10"/>
      <c r="J231" s="10"/>
      <c r="K231" s="10"/>
      <c r="L231" s="10"/>
      <c r="M231" s="10"/>
      <c r="N231" s="10"/>
      <c r="O231" s="10"/>
      <c r="P231" s="10"/>
      <c r="Q231" s="10"/>
      <c r="R231" s="10"/>
      <c r="S231" s="63" t="s">
        <v>636</v>
      </c>
      <c r="T231" s="4" t="s">
        <v>32</v>
      </c>
      <c r="U231" s="63" t="s">
        <v>636</v>
      </c>
      <c r="V231" s="10" t="s">
        <v>33</v>
      </c>
      <c r="W231" s="23"/>
      <c r="X231" s="63" t="s">
        <v>636</v>
      </c>
      <c r="Y231" s="4" t="s">
        <v>32</v>
      </c>
      <c r="Z231" s="10" t="str">
        <f>_xlfn.DISPIMG("ID_BE73191C80C74120A76DB73F367C27AA",1)</f>
        <v>=DISPIMG("ID_BE73191C80C74120A76DB73F367C27AA",1)</v>
      </c>
      <c r="AA231" s="10" t="s">
        <v>34</v>
      </c>
      <c r="AB231" s="10" t="s">
        <v>637</v>
      </c>
      <c r="AC231" s="10"/>
    </row>
    <row r="232" s="2" customFormat="1" ht="49.5" spans="1:29">
      <c r="A232" s="10" t="s">
        <v>29</v>
      </c>
      <c r="B232" s="10" t="s">
        <v>332</v>
      </c>
      <c r="C232" s="28" t="s">
        <v>412</v>
      </c>
      <c r="D232" s="29" t="s">
        <v>269</v>
      </c>
      <c r="E232" s="59"/>
      <c r="F232" s="28"/>
      <c r="G232" s="37"/>
      <c r="H232" s="29"/>
      <c r="I232" s="10"/>
      <c r="J232" s="10"/>
      <c r="K232" s="10"/>
      <c r="L232" s="10"/>
      <c r="M232" s="10"/>
      <c r="N232" s="10"/>
      <c r="O232" s="10"/>
      <c r="P232" s="10"/>
      <c r="Q232" s="10"/>
      <c r="R232" s="10"/>
      <c r="S232" s="63" t="s">
        <v>638</v>
      </c>
      <c r="T232" s="4" t="s">
        <v>32</v>
      </c>
      <c r="U232" s="63" t="s">
        <v>638</v>
      </c>
      <c r="V232" s="10" t="s">
        <v>33</v>
      </c>
      <c r="W232" s="23"/>
      <c r="X232" s="63" t="s">
        <v>638</v>
      </c>
      <c r="Y232" s="4" t="s">
        <v>32</v>
      </c>
      <c r="Z232" s="10" t="str">
        <f>_xlfn.DISPIMG("ID_8E41760F66C042A9A834FA64217431C6",1)</f>
        <v>=DISPIMG("ID_8E41760F66C042A9A834FA64217431C6",1)</v>
      </c>
      <c r="AA232" s="10" t="s">
        <v>34</v>
      </c>
      <c r="AB232" s="10" t="s">
        <v>639</v>
      </c>
      <c r="AC232" s="10"/>
    </row>
    <row r="233" s="2" customFormat="1" ht="49.5" spans="1:29">
      <c r="A233" s="10" t="s">
        <v>29</v>
      </c>
      <c r="B233" s="10" t="s">
        <v>332</v>
      </c>
      <c r="C233" s="28" t="s">
        <v>412</v>
      </c>
      <c r="D233" s="29" t="s">
        <v>269</v>
      </c>
      <c r="E233" s="59"/>
      <c r="F233" s="28"/>
      <c r="G233" s="37"/>
      <c r="H233" s="29"/>
      <c r="I233" s="10"/>
      <c r="J233" s="10"/>
      <c r="K233" s="10"/>
      <c r="L233" s="10"/>
      <c r="M233" s="10"/>
      <c r="N233" s="10"/>
      <c r="O233" s="10"/>
      <c r="P233" s="10"/>
      <c r="Q233" s="10"/>
      <c r="R233" s="10"/>
      <c r="S233" s="63" t="s">
        <v>640</v>
      </c>
      <c r="T233" s="4" t="s">
        <v>32</v>
      </c>
      <c r="U233" s="63" t="s">
        <v>640</v>
      </c>
      <c r="V233" s="10" t="s">
        <v>33</v>
      </c>
      <c r="W233" s="23"/>
      <c r="X233" s="63" t="s">
        <v>640</v>
      </c>
      <c r="Y233" s="4" t="s">
        <v>32</v>
      </c>
      <c r="Z233" s="10" t="str">
        <f>_xlfn.DISPIMG("ID_12EB44FE525A4705B375991F1DBB49B2",1)</f>
        <v>=DISPIMG("ID_12EB44FE525A4705B375991F1DBB49B2",1)</v>
      </c>
      <c r="AA233" s="10" t="s">
        <v>34</v>
      </c>
      <c r="AB233" s="10" t="s">
        <v>641</v>
      </c>
      <c r="AC233" s="10"/>
    </row>
    <row r="234" s="2" customFormat="1" ht="49.5" spans="1:29">
      <c r="A234" s="10" t="s">
        <v>29</v>
      </c>
      <c r="B234" s="10" t="s">
        <v>332</v>
      </c>
      <c r="C234" s="28" t="s">
        <v>412</v>
      </c>
      <c r="D234" s="29" t="s">
        <v>269</v>
      </c>
      <c r="E234" s="59"/>
      <c r="F234" s="28"/>
      <c r="G234" s="37"/>
      <c r="H234" s="29"/>
      <c r="I234" s="10"/>
      <c r="J234" s="10"/>
      <c r="K234" s="10"/>
      <c r="L234" s="10"/>
      <c r="M234" s="10"/>
      <c r="N234" s="10"/>
      <c r="O234" s="10"/>
      <c r="P234" s="10"/>
      <c r="Q234" s="10"/>
      <c r="R234" s="10"/>
      <c r="S234" s="63" t="s">
        <v>642</v>
      </c>
      <c r="T234" s="4" t="s">
        <v>32</v>
      </c>
      <c r="U234" s="63" t="s">
        <v>642</v>
      </c>
      <c r="V234" s="10" t="s">
        <v>33</v>
      </c>
      <c r="W234" s="23"/>
      <c r="X234" s="63" t="s">
        <v>642</v>
      </c>
      <c r="Y234" s="4" t="s">
        <v>32</v>
      </c>
      <c r="Z234" s="10" t="str">
        <f>_xlfn.DISPIMG("ID_ACE8E45A5C2E408CBAE160AC2C50D20F",1)</f>
        <v>=DISPIMG("ID_ACE8E45A5C2E408CBAE160AC2C50D20F",1)</v>
      </c>
      <c r="AA234" s="10" t="s">
        <v>34</v>
      </c>
      <c r="AB234" s="10" t="s">
        <v>643</v>
      </c>
      <c r="AC234" s="10"/>
    </row>
    <row r="235" s="2" customFormat="1" ht="66" spans="1:29">
      <c r="A235" s="10" t="s">
        <v>29</v>
      </c>
      <c r="B235" s="10" t="s">
        <v>332</v>
      </c>
      <c r="C235" s="28" t="s">
        <v>412</v>
      </c>
      <c r="D235" s="29" t="s">
        <v>269</v>
      </c>
      <c r="E235" s="59"/>
      <c r="F235" s="28"/>
      <c r="G235" s="37"/>
      <c r="H235" s="29"/>
      <c r="I235" s="10"/>
      <c r="J235" s="10"/>
      <c r="K235" s="10"/>
      <c r="L235" s="10"/>
      <c r="M235" s="10"/>
      <c r="N235" s="10"/>
      <c r="O235" s="10"/>
      <c r="P235" s="10"/>
      <c r="Q235" s="10"/>
      <c r="R235" s="10"/>
      <c r="S235" s="63" t="s">
        <v>644</v>
      </c>
      <c r="T235" s="4" t="s">
        <v>32</v>
      </c>
      <c r="U235" s="63" t="s">
        <v>644</v>
      </c>
      <c r="V235" s="10" t="s">
        <v>33</v>
      </c>
      <c r="W235" s="23"/>
      <c r="X235" s="63" t="s">
        <v>644</v>
      </c>
      <c r="Y235" s="4" t="s">
        <v>32</v>
      </c>
      <c r="Z235" s="10" t="str">
        <f>_xlfn.DISPIMG("ID_CCEC1A4FCAFF401FAC4F855AA0AB5D43",1)</f>
        <v>=DISPIMG("ID_CCEC1A4FCAFF401FAC4F855AA0AB5D43",1)</v>
      </c>
      <c r="AA235" s="10" t="s">
        <v>34</v>
      </c>
      <c r="AB235" s="10" t="s">
        <v>645</v>
      </c>
      <c r="AC235" s="10"/>
    </row>
    <row r="236" s="2" customFormat="1" ht="82.5" spans="1:29">
      <c r="A236" s="10" t="s">
        <v>29</v>
      </c>
      <c r="B236" s="10" t="s">
        <v>332</v>
      </c>
      <c r="C236" s="28" t="s">
        <v>412</v>
      </c>
      <c r="D236" s="29" t="s">
        <v>269</v>
      </c>
      <c r="E236" s="59"/>
      <c r="F236" s="28"/>
      <c r="G236" s="37"/>
      <c r="H236" s="29"/>
      <c r="I236" s="10"/>
      <c r="J236" s="10"/>
      <c r="K236" s="10"/>
      <c r="L236" s="10"/>
      <c r="M236" s="10"/>
      <c r="N236" s="10"/>
      <c r="O236" s="10"/>
      <c r="P236" s="10"/>
      <c r="Q236" s="10"/>
      <c r="R236" s="10"/>
      <c r="S236" s="63" t="s">
        <v>646</v>
      </c>
      <c r="T236" s="4" t="s">
        <v>68</v>
      </c>
      <c r="U236" s="63" t="s">
        <v>647</v>
      </c>
      <c r="V236" s="10" t="s">
        <v>33</v>
      </c>
      <c r="W236" s="23"/>
      <c r="X236" s="63" t="s">
        <v>646</v>
      </c>
      <c r="Y236" s="4" t="s">
        <v>68</v>
      </c>
      <c r="Z236" s="10" t="str">
        <f>_xlfn.DISPIMG("ID_FDE982E89A6E4E558B5E2745BCC347C6",1)</f>
        <v>=DISPIMG("ID_FDE982E89A6E4E558B5E2745BCC347C6",1)</v>
      </c>
      <c r="AA236" s="10" t="s">
        <v>34</v>
      </c>
      <c r="AB236" s="10" t="s">
        <v>648</v>
      </c>
      <c r="AC236" s="10"/>
    </row>
    <row r="237" s="2" customFormat="1" ht="49.5" spans="1:29">
      <c r="A237" s="10" t="s">
        <v>29</v>
      </c>
      <c r="B237" s="10" t="s">
        <v>332</v>
      </c>
      <c r="C237" s="28" t="s">
        <v>412</v>
      </c>
      <c r="D237" s="29" t="s">
        <v>269</v>
      </c>
      <c r="E237" s="59"/>
      <c r="F237" s="28"/>
      <c r="G237" s="37"/>
      <c r="H237" s="29"/>
      <c r="I237" s="10"/>
      <c r="J237" s="10"/>
      <c r="K237" s="10"/>
      <c r="L237" s="10"/>
      <c r="M237" s="10"/>
      <c r="N237" s="10"/>
      <c r="O237" s="10"/>
      <c r="P237" s="10"/>
      <c r="Q237" s="10"/>
      <c r="R237" s="10"/>
      <c r="S237" s="63" t="s">
        <v>649</v>
      </c>
      <c r="T237" s="4" t="s">
        <v>32</v>
      </c>
      <c r="U237" s="63" t="s">
        <v>649</v>
      </c>
      <c r="V237" s="10" t="s">
        <v>33</v>
      </c>
      <c r="W237" s="23"/>
      <c r="X237" s="63" t="s">
        <v>649</v>
      </c>
      <c r="Y237" s="4" t="s">
        <v>32</v>
      </c>
      <c r="Z237" s="10" t="str">
        <f>_xlfn.DISPIMG("ID_F81BA1F9629B474AB2266483BBF90EF3",1)</f>
        <v>=DISPIMG("ID_F81BA1F9629B474AB2266483BBF90EF3",1)</v>
      </c>
      <c r="AA237" s="10" t="s">
        <v>34</v>
      </c>
      <c r="AB237" s="10" t="s">
        <v>650</v>
      </c>
      <c r="AC237" s="10"/>
    </row>
    <row r="238" s="2" customFormat="1" ht="66" spans="1:29">
      <c r="A238" s="10" t="s">
        <v>29</v>
      </c>
      <c r="B238" s="10" t="s">
        <v>332</v>
      </c>
      <c r="C238" s="28" t="s">
        <v>412</v>
      </c>
      <c r="D238" s="29" t="s">
        <v>269</v>
      </c>
      <c r="E238" s="59"/>
      <c r="F238" s="28"/>
      <c r="G238" s="37"/>
      <c r="H238" s="29"/>
      <c r="I238" s="10"/>
      <c r="J238" s="10"/>
      <c r="K238" s="10"/>
      <c r="L238" s="10"/>
      <c r="M238" s="10"/>
      <c r="N238" s="10"/>
      <c r="O238" s="10"/>
      <c r="P238" s="10"/>
      <c r="Q238" s="10"/>
      <c r="R238" s="10"/>
      <c r="S238" s="63" t="s">
        <v>651</v>
      </c>
      <c r="T238" s="4" t="s">
        <v>32</v>
      </c>
      <c r="U238" s="63" t="s">
        <v>651</v>
      </c>
      <c r="V238" s="10" t="s">
        <v>33</v>
      </c>
      <c r="W238" s="23"/>
      <c r="X238" s="63" t="s">
        <v>651</v>
      </c>
      <c r="Y238" s="4" t="s">
        <v>32</v>
      </c>
      <c r="Z238" s="10" t="str">
        <f>_xlfn.DISPIMG("ID_2D1B16361218421484F08E2CDBBF9476",1)</f>
        <v>=DISPIMG("ID_2D1B16361218421484F08E2CDBBF9476",1)</v>
      </c>
      <c r="AA238" s="10" t="s">
        <v>34</v>
      </c>
      <c r="AB238" s="10" t="s">
        <v>652</v>
      </c>
      <c r="AC238" s="10"/>
    </row>
    <row r="239" s="2" customFormat="1" ht="66" spans="1:29">
      <c r="A239" s="10" t="s">
        <v>29</v>
      </c>
      <c r="B239" s="10" t="s">
        <v>332</v>
      </c>
      <c r="C239" s="28" t="s">
        <v>412</v>
      </c>
      <c r="D239" s="29" t="s">
        <v>269</v>
      </c>
      <c r="E239" s="59"/>
      <c r="F239" s="28"/>
      <c r="G239" s="37"/>
      <c r="H239" s="29"/>
      <c r="I239" s="10"/>
      <c r="J239" s="10"/>
      <c r="K239" s="10"/>
      <c r="L239" s="10"/>
      <c r="M239" s="10"/>
      <c r="N239" s="10"/>
      <c r="O239" s="10"/>
      <c r="P239" s="10"/>
      <c r="Q239" s="10"/>
      <c r="R239" s="10"/>
      <c r="S239" s="63" t="s">
        <v>653</v>
      </c>
      <c r="T239" s="4" t="s">
        <v>32</v>
      </c>
      <c r="U239" s="63" t="s">
        <v>653</v>
      </c>
      <c r="V239" s="10" t="s">
        <v>33</v>
      </c>
      <c r="W239" s="23"/>
      <c r="X239" s="63" t="s">
        <v>653</v>
      </c>
      <c r="Y239" s="4" t="s">
        <v>32</v>
      </c>
      <c r="Z239" s="10" t="str">
        <f>_xlfn.DISPIMG("ID_A90096CEB357487A9F9616BF38D77840",1)</f>
        <v>=DISPIMG("ID_A90096CEB357487A9F9616BF38D77840",1)</v>
      </c>
      <c r="AA239" s="10" t="s">
        <v>34</v>
      </c>
      <c r="AB239" s="10" t="s">
        <v>654</v>
      </c>
      <c r="AC239" s="10"/>
    </row>
    <row r="240" s="2" customFormat="1" ht="82.5" spans="1:29">
      <c r="A240" s="10" t="s">
        <v>29</v>
      </c>
      <c r="B240" s="10" t="s">
        <v>332</v>
      </c>
      <c r="C240" s="28" t="s">
        <v>412</v>
      </c>
      <c r="D240" s="29" t="s">
        <v>269</v>
      </c>
      <c r="E240" s="59"/>
      <c r="F240" s="28"/>
      <c r="G240" s="37"/>
      <c r="H240" s="29"/>
      <c r="I240" s="10"/>
      <c r="J240" s="10"/>
      <c r="K240" s="10"/>
      <c r="L240" s="10"/>
      <c r="M240" s="10"/>
      <c r="N240" s="10"/>
      <c r="O240" s="10"/>
      <c r="P240" s="10"/>
      <c r="Q240" s="10"/>
      <c r="R240" s="10"/>
      <c r="S240" s="63" t="s">
        <v>655</v>
      </c>
      <c r="T240" s="4" t="s">
        <v>68</v>
      </c>
      <c r="U240" s="63" t="s">
        <v>656</v>
      </c>
      <c r="V240" s="10" t="s">
        <v>33</v>
      </c>
      <c r="W240" s="23"/>
      <c r="X240" s="63" t="s">
        <v>655</v>
      </c>
      <c r="Y240" s="4" t="s">
        <v>68</v>
      </c>
      <c r="Z240" s="10" t="str">
        <f>_xlfn.DISPIMG("ID_5E01A176F04E48A79539AA55F5A624C0",1)</f>
        <v>=DISPIMG("ID_5E01A176F04E48A79539AA55F5A624C0",1)</v>
      </c>
      <c r="AA240" s="10" t="s">
        <v>34</v>
      </c>
      <c r="AB240" s="10" t="s">
        <v>657</v>
      </c>
      <c r="AC240" s="10"/>
    </row>
    <row r="241" s="2" customFormat="1" ht="66" spans="1:29">
      <c r="A241" s="10" t="s">
        <v>29</v>
      </c>
      <c r="B241" s="10" t="s">
        <v>332</v>
      </c>
      <c r="C241" s="28" t="s">
        <v>412</v>
      </c>
      <c r="D241" s="29" t="s">
        <v>269</v>
      </c>
      <c r="E241" s="59"/>
      <c r="F241" s="28"/>
      <c r="G241" s="37"/>
      <c r="H241" s="29"/>
      <c r="I241" s="10"/>
      <c r="J241" s="10"/>
      <c r="K241" s="10"/>
      <c r="L241" s="10"/>
      <c r="M241" s="10"/>
      <c r="N241" s="10"/>
      <c r="O241" s="10"/>
      <c r="P241" s="10"/>
      <c r="Q241" s="10"/>
      <c r="R241" s="10"/>
      <c r="S241" s="63" t="s">
        <v>658</v>
      </c>
      <c r="T241" s="4" t="s">
        <v>32</v>
      </c>
      <c r="U241" s="63" t="s">
        <v>658</v>
      </c>
      <c r="V241" s="10" t="s">
        <v>33</v>
      </c>
      <c r="W241" s="23"/>
      <c r="X241" s="63" t="s">
        <v>658</v>
      </c>
      <c r="Y241" s="4" t="s">
        <v>32</v>
      </c>
      <c r="Z241" s="10"/>
      <c r="AA241" s="10" t="s">
        <v>34</v>
      </c>
      <c r="AB241" s="10" t="s">
        <v>659</v>
      </c>
      <c r="AC241" s="10"/>
    </row>
    <row r="242" s="2" customFormat="1" ht="82.5" spans="1:29">
      <c r="A242" s="10" t="s">
        <v>29</v>
      </c>
      <c r="B242" s="10" t="s">
        <v>332</v>
      </c>
      <c r="C242" s="28" t="s">
        <v>412</v>
      </c>
      <c r="D242" s="29" t="s">
        <v>269</v>
      </c>
      <c r="E242" s="59"/>
      <c r="F242" s="28"/>
      <c r="G242" s="37"/>
      <c r="H242" s="29"/>
      <c r="I242" s="10"/>
      <c r="J242" s="10"/>
      <c r="K242" s="10"/>
      <c r="L242" s="10"/>
      <c r="M242" s="10"/>
      <c r="N242" s="10"/>
      <c r="O242" s="10"/>
      <c r="P242" s="10"/>
      <c r="Q242" s="10"/>
      <c r="R242" s="10"/>
      <c r="S242" s="63" t="s">
        <v>660</v>
      </c>
      <c r="T242" s="4" t="s">
        <v>68</v>
      </c>
      <c r="U242" s="63" t="s">
        <v>661</v>
      </c>
      <c r="V242" s="10" t="s">
        <v>33</v>
      </c>
      <c r="W242" s="23"/>
      <c r="X242" s="63" t="s">
        <v>660</v>
      </c>
      <c r="Y242" s="4" t="s">
        <v>68</v>
      </c>
      <c r="Z242" s="10" t="str">
        <f>_xlfn.DISPIMG("ID_0DBCE16867A04815AAB59538705E8D20",1)</f>
        <v>=DISPIMG("ID_0DBCE16867A04815AAB59538705E8D20",1)</v>
      </c>
      <c r="AA242" s="10" t="s">
        <v>34</v>
      </c>
      <c r="AB242" s="10" t="s">
        <v>662</v>
      </c>
      <c r="AC242" s="10"/>
    </row>
    <row r="243" s="2" customFormat="1" ht="66" spans="1:29">
      <c r="A243" s="10" t="s">
        <v>29</v>
      </c>
      <c r="B243" s="10" t="s">
        <v>332</v>
      </c>
      <c r="C243" s="28" t="s">
        <v>412</v>
      </c>
      <c r="D243" s="29" t="s">
        <v>269</v>
      </c>
      <c r="E243" s="59"/>
      <c r="F243" s="28"/>
      <c r="G243" s="37"/>
      <c r="H243" s="29"/>
      <c r="I243" s="10"/>
      <c r="J243" s="10"/>
      <c r="K243" s="10"/>
      <c r="L243" s="10"/>
      <c r="M243" s="10"/>
      <c r="N243" s="10"/>
      <c r="O243" s="10"/>
      <c r="P243" s="10"/>
      <c r="Q243" s="10"/>
      <c r="R243" s="10"/>
      <c r="S243" s="63" t="s">
        <v>663</v>
      </c>
      <c r="T243" s="4" t="s">
        <v>32</v>
      </c>
      <c r="U243" s="63" t="s">
        <v>663</v>
      </c>
      <c r="V243" s="10" t="s">
        <v>33</v>
      </c>
      <c r="W243" s="23"/>
      <c r="X243" s="63" t="s">
        <v>663</v>
      </c>
      <c r="Y243" s="4" t="s">
        <v>32</v>
      </c>
      <c r="Z243" s="10"/>
      <c r="AA243" s="10" t="s">
        <v>34</v>
      </c>
      <c r="AB243" s="10" t="s">
        <v>664</v>
      </c>
      <c r="AC243" s="10"/>
    </row>
    <row r="244" s="2" customFormat="1" ht="148.5" spans="1:29">
      <c r="A244" s="10" t="s">
        <v>29</v>
      </c>
      <c r="B244" s="10" t="s">
        <v>332</v>
      </c>
      <c r="C244" s="28" t="s">
        <v>412</v>
      </c>
      <c r="D244" s="29" t="s">
        <v>269</v>
      </c>
      <c r="E244" s="59"/>
      <c r="F244" s="28"/>
      <c r="G244" s="37"/>
      <c r="H244" s="29"/>
      <c r="I244" s="10"/>
      <c r="J244" s="10"/>
      <c r="K244" s="10"/>
      <c r="L244" s="10"/>
      <c r="M244" s="10"/>
      <c r="N244" s="10"/>
      <c r="O244" s="10"/>
      <c r="P244" s="10"/>
      <c r="Q244" s="10"/>
      <c r="R244" s="10"/>
      <c r="S244" s="63" t="s">
        <v>665</v>
      </c>
      <c r="T244" s="4" t="s">
        <v>68</v>
      </c>
      <c r="U244" s="63" t="s">
        <v>666</v>
      </c>
      <c r="V244" s="10" t="s">
        <v>33</v>
      </c>
      <c r="W244" s="23"/>
      <c r="X244" s="63" t="s">
        <v>667</v>
      </c>
      <c r="Y244" s="4" t="s">
        <v>68</v>
      </c>
      <c r="Z244" s="10" t="str">
        <f>_xlfn.DISPIMG("ID_6D769586D49445EABC08214CF2A250F6",1)</f>
        <v>=DISPIMG("ID_6D769586D49445EABC08214CF2A250F6",1)</v>
      </c>
      <c r="AA244" s="10" t="s">
        <v>34</v>
      </c>
      <c r="AB244" s="10" t="s">
        <v>668</v>
      </c>
      <c r="AC244" s="10"/>
    </row>
    <row r="245" s="2" customFormat="1" ht="66" spans="1:29">
      <c r="A245" s="10" t="s">
        <v>29</v>
      </c>
      <c r="B245" s="10" t="s">
        <v>332</v>
      </c>
      <c r="C245" s="28" t="s">
        <v>412</v>
      </c>
      <c r="D245" s="29" t="s">
        <v>269</v>
      </c>
      <c r="E245" s="59"/>
      <c r="F245" s="28"/>
      <c r="G245" s="37"/>
      <c r="H245" s="29"/>
      <c r="I245" s="10"/>
      <c r="J245" s="10"/>
      <c r="K245" s="10"/>
      <c r="L245" s="10"/>
      <c r="M245" s="10"/>
      <c r="N245" s="10"/>
      <c r="O245" s="10"/>
      <c r="P245" s="10"/>
      <c r="Q245" s="10"/>
      <c r="R245" s="10"/>
      <c r="S245" s="63" t="s">
        <v>669</v>
      </c>
      <c r="T245" s="4" t="s">
        <v>32</v>
      </c>
      <c r="U245" s="63" t="s">
        <v>669</v>
      </c>
      <c r="V245" s="10" t="s">
        <v>33</v>
      </c>
      <c r="W245" s="23"/>
      <c r="X245" s="63" t="s">
        <v>669</v>
      </c>
      <c r="Y245" s="4" t="s">
        <v>32</v>
      </c>
      <c r="Z245" s="10"/>
      <c r="AA245" s="10" t="s">
        <v>34</v>
      </c>
      <c r="AB245" s="10" t="s">
        <v>670</v>
      </c>
      <c r="AC245" s="10" t="s">
        <v>671</v>
      </c>
    </row>
    <row r="246" s="2" customFormat="1" ht="115.5" spans="1:29">
      <c r="A246" s="10" t="s">
        <v>29</v>
      </c>
      <c r="B246" s="10" t="s">
        <v>332</v>
      </c>
      <c r="C246" s="28" t="s">
        <v>412</v>
      </c>
      <c r="D246" s="29" t="s">
        <v>269</v>
      </c>
      <c r="E246" s="59"/>
      <c r="F246" s="28"/>
      <c r="G246" s="37"/>
      <c r="H246" s="29"/>
      <c r="I246" s="10"/>
      <c r="J246" s="10"/>
      <c r="K246" s="10"/>
      <c r="L246" s="10"/>
      <c r="M246" s="10"/>
      <c r="N246" s="10"/>
      <c r="O246" s="10"/>
      <c r="P246" s="10"/>
      <c r="Q246" s="10"/>
      <c r="R246" s="10"/>
      <c r="S246" s="63" t="s">
        <v>672</v>
      </c>
      <c r="T246" s="4" t="s">
        <v>68</v>
      </c>
      <c r="U246" s="63" t="s">
        <v>673</v>
      </c>
      <c r="V246" s="10" t="s">
        <v>33</v>
      </c>
      <c r="W246" s="23"/>
      <c r="X246" s="63" t="s">
        <v>672</v>
      </c>
      <c r="Y246" s="4" t="s">
        <v>68</v>
      </c>
      <c r="Z246" s="10" t="str">
        <f>_xlfn.DISPIMG("ID_84CF186DFB994A5594AA3526FEBABA99",1)</f>
        <v>=DISPIMG("ID_84CF186DFB994A5594AA3526FEBABA99",1)</v>
      </c>
      <c r="AA246" s="10" t="s">
        <v>34</v>
      </c>
      <c r="AB246" s="10" t="s">
        <v>674</v>
      </c>
      <c r="AC246" s="10"/>
    </row>
    <row r="247" s="2" customFormat="1" ht="66" spans="1:29">
      <c r="A247" s="10" t="s">
        <v>29</v>
      </c>
      <c r="B247" s="10" t="s">
        <v>332</v>
      </c>
      <c r="C247" s="28" t="s">
        <v>412</v>
      </c>
      <c r="D247" s="29" t="s">
        <v>269</v>
      </c>
      <c r="E247" s="59"/>
      <c r="F247" s="28"/>
      <c r="G247" s="37"/>
      <c r="H247" s="29"/>
      <c r="I247" s="10"/>
      <c r="J247" s="10"/>
      <c r="K247" s="10"/>
      <c r="L247" s="10"/>
      <c r="M247" s="10"/>
      <c r="N247" s="10"/>
      <c r="O247" s="10"/>
      <c r="P247" s="10"/>
      <c r="Q247" s="10"/>
      <c r="R247" s="10"/>
      <c r="S247" s="63" t="s">
        <v>675</v>
      </c>
      <c r="T247" s="4" t="s">
        <v>32</v>
      </c>
      <c r="U247" s="63" t="s">
        <v>675</v>
      </c>
      <c r="V247" s="10" t="s">
        <v>33</v>
      </c>
      <c r="W247" s="23"/>
      <c r="X247" s="63" t="s">
        <v>675</v>
      </c>
      <c r="Y247" s="4" t="s">
        <v>32</v>
      </c>
      <c r="Z247" s="10"/>
      <c r="AA247" s="10" t="s">
        <v>34</v>
      </c>
      <c r="AB247" s="10" t="s">
        <v>676</v>
      </c>
      <c r="AC247" s="10"/>
    </row>
    <row r="248" s="2" customFormat="1" ht="297" spans="1:29">
      <c r="A248" s="10" t="s">
        <v>29</v>
      </c>
      <c r="B248" s="10" t="s">
        <v>332</v>
      </c>
      <c r="C248" s="28" t="s">
        <v>412</v>
      </c>
      <c r="D248" s="29" t="s">
        <v>269</v>
      </c>
      <c r="E248" s="59"/>
      <c r="F248" s="28"/>
      <c r="G248" s="37"/>
      <c r="H248" s="29"/>
      <c r="I248" s="10"/>
      <c r="J248" s="10"/>
      <c r="K248" s="10"/>
      <c r="L248" s="10"/>
      <c r="M248" s="10"/>
      <c r="N248" s="10"/>
      <c r="O248" s="10"/>
      <c r="P248" s="10"/>
      <c r="Q248" s="10"/>
      <c r="R248" s="10"/>
      <c r="S248" s="63" t="s">
        <v>677</v>
      </c>
      <c r="T248" s="4" t="s">
        <v>68</v>
      </c>
      <c r="U248" s="63" t="s">
        <v>678</v>
      </c>
      <c r="V248" s="10" t="s">
        <v>33</v>
      </c>
      <c r="W248" s="23"/>
      <c r="X248" s="63" t="s">
        <v>677</v>
      </c>
      <c r="Y248" s="4" t="s">
        <v>68</v>
      </c>
      <c r="Z248" s="10" t="str">
        <f>_xlfn.DISPIMG("ID_2C9B56A7D8F14B5F950DAD09580799A1",1)</f>
        <v>=DISPIMG("ID_2C9B56A7D8F14B5F950DAD09580799A1",1)</v>
      </c>
      <c r="AA248" s="10" t="s">
        <v>34</v>
      </c>
      <c r="AB248" s="10" t="s">
        <v>679</v>
      </c>
      <c r="AC248" s="10"/>
    </row>
    <row r="249" s="2" customFormat="1" ht="165" spans="1:29">
      <c r="A249" s="10" t="s">
        <v>29</v>
      </c>
      <c r="B249" s="10" t="s">
        <v>332</v>
      </c>
      <c r="C249" s="28" t="s">
        <v>412</v>
      </c>
      <c r="D249" s="29" t="s">
        <v>269</v>
      </c>
      <c r="E249" s="59"/>
      <c r="F249" s="28"/>
      <c r="G249" s="37"/>
      <c r="H249" s="29"/>
      <c r="I249" s="10"/>
      <c r="J249" s="10"/>
      <c r="K249" s="10"/>
      <c r="L249" s="10"/>
      <c r="M249" s="10"/>
      <c r="N249" s="10"/>
      <c r="O249" s="10"/>
      <c r="P249" s="10"/>
      <c r="Q249" s="10"/>
      <c r="R249" s="10"/>
      <c r="S249" s="63" t="s">
        <v>680</v>
      </c>
      <c r="T249" s="4" t="s">
        <v>68</v>
      </c>
      <c r="U249" s="63" t="s">
        <v>681</v>
      </c>
      <c r="V249" s="10" t="s">
        <v>33</v>
      </c>
      <c r="W249" s="23"/>
      <c r="X249" s="63" t="s">
        <v>680</v>
      </c>
      <c r="Y249" s="4" t="s">
        <v>68</v>
      </c>
      <c r="Z249" s="10" t="str">
        <f>_xlfn.DISPIMG("ID_38AC7990EACB49D49DD25FCFA9E18E32",1)</f>
        <v>=DISPIMG("ID_38AC7990EACB49D49DD25FCFA9E18E32",1)</v>
      </c>
      <c r="AA249" s="10" t="s">
        <v>34</v>
      </c>
      <c r="AB249" s="10" t="s">
        <v>682</v>
      </c>
      <c r="AC249" s="10"/>
    </row>
    <row r="250" s="2" customFormat="1" ht="66" spans="1:29">
      <c r="A250" s="10" t="s">
        <v>29</v>
      </c>
      <c r="B250" s="10" t="s">
        <v>332</v>
      </c>
      <c r="C250" s="28" t="s">
        <v>412</v>
      </c>
      <c r="D250" s="29" t="s">
        <v>269</v>
      </c>
      <c r="E250" s="59"/>
      <c r="F250" s="28"/>
      <c r="G250" s="37"/>
      <c r="H250" s="29"/>
      <c r="I250" s="10"/>
      <c r="J250" s="10"/>
      <c r="K250" s="10"/>
      <c r="L250" s="10"/>
      <c r="M250" s="10"/>
      <c r="N250" s="10"/>
      <c r="O250" s="10"/>
      <c r="P250" s="10"/>
      <c r="Q250" s="10"/>
      <c r="R250" s="10"/>
      <c r="S250" s="63" t="s">
        <v>683</v>
      </c>
      <c r="T250" s="4" t="s">
        <v>32</v>
      </c>
      <c r="U250" s="63" t="s">
        <v>683</v>
      </c>
      <c r="V250" s="10" t="s">
        <v>33</v>
      </c>
      <c r="W250" s="23"/>
      <c r="X250" s="63" t="s">
        <v>683</v>
      </c>
      <c r="Y250" s="4" t="s">
        <v>32</v>
      </c>
      <c r="Z250" s="10" t="str">
        <f>_xlfn.DISPIMG("ID_84FFA6F8A7D54DF3AB96E93495FD7DCB",1)</f>
        <v>=DISPIMG("ID_84FFA6F8A7D54DF3AB96E93495FD7DCB",1)</v>
      </c>
      <c r="AA250" s="10" t="s">
        <v>34</v>
      </c>
      <c r="AB250" s="10" t="s">
        <v>684</v>
      </c>
      <c r="AC250" s="10"/>
    </row>
    <row r="251" s="2" customFormat="1" ht="77.05" spans="1:29">
      <c r="A251" s="10" t="s">
        <v>29</v>
      </c>
      <c r="B251" s="23" t="s">
        <v>685</v>
      </c>
      <c r="C251" s="28" t="s">
        <v>686</v>
      </c>
      <c r="D251" s="29" t="s">
        <v>687</v>
      </c>
      <c r="E251" s="29"/>
      <c r="F251" s="23"/>
      <c r="G251" s="35"/>
      <c r="H251" s="29" t="s">
        <v>688</v>
      </c>
      <c r="I251" s="10"/>
      <c r="J251" s="10"/>
      <c r="K251" s="10"/>
      <c r="L251" s="10"/>
      <c r="M251" s="10"/>
      <c r="N251" s="10"/>
      <c r="O251" s="10"/>
      <c r="P251" s="10"/>
      <c r="Q251" s="10"/>
      <c r="R251" s="10"/>
      <c r="S251" s="63" t="s">
        <v>689</v>
      </c>
      <c r="T251" s="4" t="s">
        <v>32</v>
      </c>
      <c r="U251" s="63" t="s">
        <v>689</v>
      </c>
      <c r="V251" s="10" t="s">
        <v>33</v>
      </c>
      <c r="W251" s="23"/>
      <c r="X251" s="63" t="s">
        <v>689</v>
      </c>
      <c r="Y251" s="4" t="s">
        <v>32</v>
      </c>
      <c r="Z251" s="10" t="str">
        <f>_xlfn.DISPIMG("ID_AD707ED4953344FD8C1FE3D2806D4ACE",1)</f>
        <v>=DISPIMG("ID_AD707ED4953344FD8C1FE3D2806D4ACE",1)</v>
      </c>
      <c r="AA251" s="10" t="s">
        <v>34</v>
      </c>
      <c r="AB251" s="10" t="s">
        <v>690</v>
      </c>
      <c r="AC251" s="10"/>
    </row>
    <row r="252" s="2" customFormat="1" ht="116.05" spans="1:29">
      <c r="A252" s="10" t="s">
        <v>29</v>
      </c>
      <c r="B252" s="23" t="s">
        <v>685</v>
      </c>
      <c r="C252" s="28" t="s">
        <v>686</v>
      </c>
      <c r="D252" s="29" t="s">
        <v>687</v>
      </c>
      <c r="E252" s="29"/>
      <c r="F252" s="23"/>
      <c r="G252" s="35"/>
      <c r="H252" s="29"/>
      <c r="I252" s="10"/>
      <c r="J252" s="10"/>
      <c r="K252" s="10"/>
      <c r="L252" s="10"/>
      <c r="M252" s="10"/>
      <c r="N252" s="10"/>
      <c r="O252" s="10"/>
      <c r="P252" s="10"/>
      <c r="Q252" s="10"/>
      <c r="R252" s="10"/>
      <c r="S252" s="63" t="s">
        <v>691</v>
      </c>
      <c r="T252" s="4" t="s">
        <v>32</v>
      </c>
      <c r="U252" s="63" t="s">
        <v>691</v>
      </c>
      <c r="V252" s="10" t="s">
        <v>33</v>
      </c>
      <c r="W252" s="23"/>
      <c r="X252" s="63" t="s">
        <v>691</v>
      </c>
      <c r="Y252" s="4" t="s">
        <v>32</v>
      </c>
      <c r="Z252" s="10" t="str">
        <f>_xlfn.DISPIMG("ID_62454594E2F84F0FA6699D9D3BFD9F2D",1)</f>
        <v>=DISPIMG("ID_62454594E2F84F0FA6699D9D3BFD9F2D",1)</v>
      </c>
      <c r="AA252" s="10" t="s">
        <v>34</v>
      </c>
      <c r="AB252" s="10" t="s">
        <v>692</v>
      </c>
      <c r="AC252" s="10"/>
    </row>
    <row r="253" s="2" customFormat="1" ht="123.5" spans="1:29">
      <c r="A253" s="10" t="s">
        <v>29</v>
      </c>
      <c r="B253" s="23" t="s">
        <v>685</v>
      </c>
      <c r="C253" s="28" t="s">
        <v>686</v>
      </c>
      <c r="D253" s="29" t="s">
        <v>687</v>
      </c>
      <c r="E253" s="29"/>
      <c r="F253" s="23"/>
      <c r="G253" s="35"/>
      <c r="H253" s="29"/>
      <c r="I253" s="10"/>
      <c r="J253" s="10"/>
      <c r="K253" s="10"/>
      <c r="L253" s="10"/>
      <c r="M253" s="10"/>
      <c r="N253" s="10"/>
      <c r="O253" s="10"/>
      <c r="P253" s="10"/>
      <c r="Q253" s="10"/>
      <c r="R253" s="10"/>
      <c r="S253" s="63" t="s">
        <v>693</v>
      </c>
      <c r="T253" s="4" t="s">
        <v>58</v>
      </c>
      <c r="U253" s="63" t="s">
        <v>693</v>
      </c>
      <c r="V253" s="10" t="s">
        <v>33</v>
      </c>
      <c r="W253" s="23"/>
      <c r="X253" s="63" t="s">
        <v>693</v>
      </c>
      <c r="Y253" s="4" t="s">
        <v>58</v>
      </c>
      <c r="Z253" s="10" t="str">
        <f>_xlfn.DISPIMG("ID_F36ECCD3902F4CF2A6A588F8D98A5B94",1)</f>
        <v>=DISPIMG("ID_F36ECCD3902F4CF2A6A588F8D98A5B94",1)</v>
      </c>
      <c r="AA253" s="10" t="s">
        <v>34</v>
      </c>
      <c r="AB253" s="10" t="s">
        <v>694</v>
      </c>
      <c r="AC253" s="10"/>
    </row>
    <row r="254" s="2" customFormat="1" ht="114.9" spans="1:29">
      <c r="A254" s="10" t="s">
        <v>29</v>
      </c>
      <c r="B254" s="23" t="s">
        <v>685</v>
      </c>
      <c r="C254" s="28" t="s">
        <v>686</v>
      </c>
      <c r="D254" s="29" t="s">
        <v>687</v>
      </c>
      <c r="E254" s="29"/>
      <c r="F254" s="23"/>
      <c r="G254" s="35"/>
      <c r="H254" s="29" t="s">
        <v>695</v>
      </c>
      <c r="I254" s="10"/>
      <c r="J254" s="10"/>
      <c r="K254" s="10"/>
      <c r="L254" s="10"/>
      <c r="M254" s="10"/>
      <c r="N254" s="10"/>
      <c r="O254" s="10"/>
      <c r="P254" s="10"/>
      <c r="Q254" s="10"/>
      <c r="R254" s="10"/>
      <c r="S254" s="63" t="s">
        <v>696</v>
      </c>
      <c r="T254" s="4" t="s">
        <v>32</v>
      </c>
      <c r="U254" s="63" t="s">
        <v>696</v>
      </c>
      <c r="V254" s="10" t="s">
        <v>33</v>
      </c>
      <c r="W254" s="23"/>
      <c r="X254" s="63" t="s">
        <v>696</v>
      </c>
      <c r="Y254" s="4" t="s">
        <v>32</v>
      </c>
      <c r="Z254" s="10" t="str">
        <f>_xlfn.DISPIMG("ID_6C26C81057F94F298D59C286153C472F",1)</f>
        <v>=DISPIMG("ID_6C26C81057F94F298D59C286153C472F",1)</v>
      </c>
      <c r="AA254" s="10" t="s">
        <v>34</v>
      </c>
      <c r="AB254" s="10" t="s">
        <v>697</v>
      </c>
      <c r="AC254" s="10"/>
    </row>
    <row r="255" s="2" customFormat="1" ht="116.85" spans="1:29">
      <c r="A255" s="10" t="s">
        <v>29</v>
      </c>
      <c r="B255" s="23" t="s">
        <v>685</v>
      </c>
      <c r="C255" s="28" t="s">
        <v>686</v>
      </c>
      <c r="D255" s="29" t="s">
        <v>687</v>
      </c>
      <c r="E255" s="29"/>
      <c r="F255" s="23"/>
      <c r="G255" s="35"/>
      <c r="H255" s="29"/>
      <c r="I255" s="10"/>
      <c r="J255" s="10"/>
      <c r="K255" s="10"/>
      <c r="L255" s="10"/>
      <c r="M255" s="10"/>
      <c r="N255" s="10"/>
      <c r="O255" s="10"/>
      <c r="P255" s="10"/>
      <c r="Q255" s="10"/>
      <c r="R255" s="10"/>
      <c r="S255" s="63" t="s">
        <v>698</v>
      </c>
      <c r="T255" s="4" t="s">
        <v>32</v>
      </c>
      <c r="U255" s="63" t="s">
        <v>698</v>
      </c>
      <c r="V255" s="10" t="s">
        <v>33</v>
      </c>
      <c r="W255" s="23"/>
      <c r="X255" s="63" t="s">
        <v>698</v>
      </c>
      <c r="Y255" s="4" t="s">
        <v>32</v>
      </c>
      <c r="Z255" s="10" t="str">
        <f>_xlfn.DISPIMG("ID_115439742B1C46D996B2A654D9D2E7E0",1)</f>
        <v>=DISPIMG("ID_115439742B1C46D996B2A654D9D2E7E0",1)</v>
      </c>
      <c r="AA255" s="10" t="s">
        <v>34</v>
      </c>
      <c r="AB255" s="10" t="s">
        <v>699</v>
      </c>
      <c r="AC255" s="10"/>
    </row>
    <row r="256" s="2" customFormat="1" ht="118.75" spans="1:29">
      <c r="A256" s="10" t="s">
        <v>29</v>
      </c>
      <c r="B256" s="23" t="s">
        <v>685</v>
      </c>
      <c r="C256" s="28" t="s">
        <v>686</v>
      </c>
      <c r="D256" s="29" t="s">
        <v>687</v>
      </c>
      <c r="E256" s="29"/>
      <c r="F256" s="23"/>
      <c r="G256" s="35"/>
      <c r="H256" s="29"/>
      <c r="I256" s="10"/>
      <c r="J256" s="10"/>
      <c r="K256" s="10"/>
      <c r="L256" s="10"/>
      <c r="M256" s="10"/>
      <c r="N256" s="10"/>
      <c r="O256" s="10"/>
      <c r="P256" s="10"/>
      <c r="Q256" s="10"/>
      <c r="R256" s="10"/>
      <c r="S256" s="63" t="s">
        <v>700</v>
      </c>
      <c r="T256" s="4" t="s">
        <v>32</v>
      </c>
      <c r="U256" s="63" t="s">
        <v>700</v>
      </c>
      <c r="V256" s="10" t="s">
        <v>33</v>
      </c>
      <c r="W256" s="23"/>
      <c r="X256" s="63" t="s">
        <v>700</v>
      </c>
      <c r="Y256" s="4" t="s">
        <v>32</v>
      </c>
      <c r="Z256" s="10" t="str">
        <f>_xlfn.DISPIMG("ID_AFC2651A0D8146E49256FC898809CAA2",1)</f>
        <v>=DISPIMG("ID_AFC2651A0D8146E49256FC898809CAA2",1)</v>
      </c>
      <c r="AA256" s="10" t="s">
        <v>34</v>
      </c>
      <c r="AB256" s="10" t="s">
        <v>701</v>
      </c>
      <c r="AC256" s="10"/>
    </row>
    <row r="257" s="2" customFormat="1" ht="49.5" spans="1:29">
      <c r="A257" s="10" t="s">
        <v>29</v>
      </c>
      <c r="B257" s="23" t="s">
        <v>685</v>
      </c>
      <c r="C257" s="28" t="s">
        <v>686</v>
      </c>
      <c r="D257" s="29" t="s">
        <v>687</v>
      </c>
      <c r="E257" s="10"/>
      <c r="F257" s="23"/>
      <c r="G257" s="35"/>
      <c r="H257" s="10" t="s">
        <v>702</v>
      </c>
      <c r="I257" s="10"/>
      <c r="J257" s="10"/>
      <c r="K257" s="10"/>
      <c r="L257" s="10"/>
      <c r="M257" s="10"/>
      <c r="N257" s="10"/>
      <c r="O257" s="10"/>
      <c r="P257" s="10"/>
      <c r="Q257" s="10"/>
      <c r="R257" s="10"/>
      <c r="S257" s="63" t="s">
        <v>703</v>
      </c>
      <c r="T257" s="4" t="s">
        <v>32</v>
      </c>
      <c r="U257" s="63" t="s">
        <v>703</v>
      </c>
      <c r="V257" s="10" t="s">
        <v>33</v>
      </c>
      <c r="W257" s="23"/>
      <c r="X257" s="63" t="s">
        <v>703</v>
      </c>
      <c r="Y257" s="4" t="s">
        <v>32</v>
      </c>
      <c r="Z257" s="10"/>
      <c r="AA257" s="10" t="s">
        <v>34</v>
      </c>
      <c r="AB257" s="10" t="s">
        <v>704</v>
      </c>
      <c r="AC257" s="10" t="s">
        <v>705</v>
      </c>
    </row>
    <row r="258" s="2" customFormat="1" ht="147.2" spans="1:29">
      <c r="A258" s="10" t="s">
        <v>29</v>
      </c>
      <c r="B258" s="23" t="s">
        <v>685</v>
      </c>
      <c r="C258" s="28" t="s">
        <v>686</v>
      </c>
      <c r="D258" s="29" t="s">
        <v>687</v>
      </c>
      <c r="E258" s="23"/>
      <c r="F258" s="23"/>
      <c r="G258" s="35"/>
      <c r="H258" s="23" t="s">
        <v>706</v>
      </c>
      <c r="I258" s="10"/>
      <c r="J258" s="10"/>
      <c r="K258" s="10"/>
      <c r="L258" s="10"/>
      <c r="M258" s="10"/>
      <c r="N258" s="10"/>
      <c r="O258" s="10"/>
      <c r="P258" s="10"/>
      <c r="Q258" s="10"/>
      <c r="R258" s="10"/>
      <c r="S258" s="63" t="s">
        <v>707</v>
      </c>
      <c r="T258" s="4" t="s">
        <v>32</v>
      </c>
      <c r="U258" s="63" t="s">
        <v>707</v>
      </c>
      <c r="V258" s="10" t="s">
        <v>33</v>
      </c>
      <c r="W258" s="23"/>
      <c r="X258" s="63" t="s">
        <v>707</v>
      </c>
      <c r="Y258" s="4" t="s">
        <v>32</v>
      </c>
      <c r="Z258" s="10" t="str">
        <f>_xlfn.DISPIMG("ID_734A41928A8C4D0EA398F799A4D12E98",1)</f>
        <v>=DISPIMG("ID_734A41928A8C4D0EA398F799A4D12E98",1)</v>
      </c>
      <c r="AA258" s="10" t="s">
        <v>34</v>
      </c>
      <c r="AB258" s="10" t="s">
        <v>708</v>
      </c>
      <c r="AC258" s="10" t="s">
        <v>709</v>
      </c>
    </row>
    <row r="259" s="2" customFormat="1" ht="85.4" spans="1:29">
      <c r="A259" s="10" t="s">
        <v>29</v>
      </c>
      <c r="B259" s="23" t="s">
        <v>685</v>
      </c>
      <c r="C259" s="28" t="s">
        <v>686</v>
      </c>
      <c r="D259" s="29" t="s">
        <v>687</v>
      </c>
      <c r="E259" s="28"/>
      <c r="F259" s="23"/>
      <c r="G259" s="35"/>
      <c r="H259" s="28" t="s">
        <v>710</v>
      </c>
      <c r="I259" s="10"/>
      <c r="J259" s="10"/>
      <c r="K259" s="10"/>
      <c r="L259" s="10"/>
      <c r="M259" s="10"/>
      <c r="N259" s="10"/>
      <c r="O259" s="10"/>
      <c r="P259" s="10"/>
      <c r="Q259" s="10"/>
      <c r="R259" s="10"/>
      <c r="S259" s="63" t="s">
        <v>711</v>
      </c>
      <c r="T259" s="4" t="s">
        <v>32</v>
      </c>
      <c r="U259" s="63" t="s">
        <v>711</v>
      </c>
      <c r="V259" s="10" t="s">
        <v>33</v>
      </c>
      <c r="W259" s="23"/>
      <c r="X259" s="63" t="s">
        <v>711</v>
      </c>
      <c r="Y259" s="4" t="s">
        <v>32</v>
      </c>
      <c r="Z259" s="10" t="str">
        <f>_xlfn.DISPIMG("ID_D3FD47B7E383461E8C6BE4CFAB109E8B",1)</f>
        <v>=DISPIMG("ID_D3FD47B7E383461E8C6BE4CFAB109E8B",1)</v>
      </c>
      <c r="AA259" s="10" t="s">
        <v>34</v>
      </c>
      <c r="AB259" s="10" t="s">
        <v>712</v>
      </c>
      <c r="AC259" s="10"/>
    </row>
    <row r="260" s="2" customFormat="1" ht="49.5" spans="1:29">
      <c r="A260" s="10" t="s">
        <v>29</v>
      </c>
      <c r="B260" s="23" t="s">
        <v>685</v>
      </c>
      <c r="C260" s="28" t="s">
        <v>686</v>
      </c>
      <c r="D260" s="29" t="s">
        <v>687</v>
      </c>
      <c r="E260" s="28"/>
      <c r="F260" s="23"/>
      <c r="G260" s="35"/>
      <c r="H260" s="28"/>
      <c r="I260" s="10"/>
      <c r="J260" s="10"/>
      <c r="K260" s="10"/>
      <c r="L260" s="10"/>
      <c r="M260" s="10"/>
      <c r="N260" s="10"/>
      <c r="O260" s="10"/>
      <c r="P260" s="10"/>
      <c r="Q260" s="10"/>
      <c r="R260" s="10"/>
      <c r="S260" s="63" t="s">
        <v>713</v>
      </c>
      <c r="T260" s="4" t="s">
        <v>32</v>
      </c>
      <c r="U260" s="63" t="s">
        <v>713</v>
      </c>
      <c r="V260" s="10" t="s">
        <v>33</v>
      </c>
      <c r="W260" s="23"/>
      <c r="X260" s="63" t="s">
        <v>713</v>
      </c>
      <c r="Y260" s="4" t="s">
        <v>32</v>
      </c>
      <c r="Z260" s="10" t="str">
        <f>_xlfn.DISPIMG("ID_DE2D94FBA3444747BC77563139CD05A9",1)</f>
        <v>=DISPIMG("ID_DE2D94FBA3444747BC77563139CD05A9",1)</v>
      </c>
      <c r="AA260" s="10" t="s">
        <v>34</v>
      </c>
      <c r="AB260" s="10" t="s">
        <v>714</v>
      </c>
      <c r="AC260" s="10"/>
    </row>
    <row r="261" s="2" customFormat="1" ht="106.85" spans="1:29">
      <c r="A261" s="10" t="s">
        <v>29</v>
      </c>
      <c r="B261" s="23" t="s">
        <v>685</v>
      </c>
      <c r="C261" s="28" t="s">
        <v>686</v>
      </c>
      <c r="D261" s="29" t="s">
        <v>687</v>
      </c>
      <c r="E261" s="23"/>
      <c r="F261" s="23"/>
      <c r="G261" s="35"/>
      <c r="H261" s="23" t="s">
        <v>715</v>
      </c>
      <c r="I261" s="10"/>
      <c r="J261" s="10"/>
      <c r="K261" s="10"/>
      <c r="L261" s="10"/>
      <c r="M261" s="10"/>
      <c r="N261" s="10"/>
      <c r="O261" s="10"/>
      <c r="P261" s="10"/>
      <c r="Q261" s="10"/>
      <c r="R261" s="10"/>
      <c r="S261" s="63" t="s">
        <v>716</v>
      </c>
      <c r="T261" s="4" t="s">
        <v>32</v>
      </c>
      <c r="U261" s="63" t="s">
        <v>716</v>
      </c>
      <c r="V261" s="10" t="s">
        <v>33</v>
      </c>
      <c r="W261" s="23"/>
      <c r="X261" s="63" t="s">
        <v>716</v>
      </c>
      <c r="Y261" s="4" t="s">
        <v>32</v>
      </c>
      <c r="Z261" s="10" t="str">
        <f>_xlfn.DISPIMG("ID_FD11656EB43942FE80B58447305FDB45",1)</f>
        <v>=DISPIMG("ID_FD11656EB43942FE80B58447305FDB45",1)</v>
      </c>
      <c r="AA261" s="10" t="s">
        <v>34</v>
      </c>
      <c r="AB261" s="10" t="s">
        <v>717</v>
      </c>
      <c r="AC261" s="10"/>
    </row>
    <row r="262" s="2" customFormat="1" ht="108.45" spans="1:29">
      <c r="A262" s="10" t="s">
        <v>29</v>
      </c>
      <c r="B262" s="23" t="s">
        <v>685</v>
      </c>
      <c r="C262" s="28" t="s">
        <v>686</v>
      </c>
      <c r="D262" s="29" t="s">
        <v>718</v>
      </c>
      <c r="E262" s="23"/>
      <c r="F262" s="23"/>
      <c r="G262" s="35"/>
      <c r="H262" s="23" t="s">
        <v>719</v>
      </c>
      <c r="I262" s="10"/>
      <c r="J262" s="10"/>
      <c r="K262" s="10"/>
      <c r="L262" s="10"/>
      <c r="M262" s="10"/>
      <c r="N262" s="10"/>
      <c r="O262" s="10"/>
      <c r="P262" s="10"/>
      <c r="Q262" s="10"/>
      <c r="R262" s="10"/>
      <c r="S262" s="63" t="s">
        <v>720</v>
      </c>
      <c r="T262" s="4" t="s">
        <v>32</v>
      </c>
      <c r="U262" s="63" t="s">
        <v>720</v>
      </c>
      <c r="V262" s="10" t="s">
        <v>33</v>
      </c>
      <c r="W262" s="23"/>
      <c r="X262" s="63" t="s">
        <v>720</v>
      </c>
      <c r="Y262" s="4" t="s">
        <v>32</v>
      </c>
      <c r="Z262" s="10" t="str">
        <f>_xlfn.DISPIMG("ID_DE704E87FAC343EC812EAD772116C50E",1)</f>
        <v>=DISPIMG("ID_DE704E87FAC343EC812EAD772116C50E",1)</v>
      </c>
      <c r="AA262" s="10" t="s">
        <v>34</v>
      </c>
      <c r="AB262" s="10" t="s">
        <v>721</v>
      </c>
      <c r="AC262" s="10"/>
    </row>
    <row r="263" s="2" customFormat="1" ht="106.85" spans="1:29">
      <c r="A263" s="10" t="s">
        <v>29</v>
      </c>
      <c r="B263" s="23" t="s">
        <v>685</v>
      </c>
      <c r="C263" s="28" t="s">
        <v>686</v>
      </c>
      <c r="D263" s="29" t="s">
        <v>718</v>
      </c>
      <c r="E263" s="23"/>
      <c r="F263" s="23"/>
      <c r="G263" s="35"/>
      <c r="H263" s="23" t="s">
        <v>722</v>
      </c>
      <c r="I263" s="10"/>
      <c r="J263" s="10"/>
      <c r="K263" s="10"/>
      <c r="L263" s="10"/>
      <c r="M263" s="10"/>
      <c r="N263" s="10"/>
      <c r="O263" s="10"/>
      <c r="P263" s="10"/>
      <c r="Q263" s="10"/>
      <c r="R263" s="10"/>
      <c r="S263" s="62" t="s">
        <v>723</v>
      </c>
      <c r="T263" s="4" t="s">
        <v>32</v>
      </c>
      <c r="U263" s="62" t="s">
        <v>723</v>
      </c>
      <c r="V263" s="10" t="s">
        <v>33</v>
      </c>
      <c r="W263" s="23"/>
      <c r="X263" s="62" t="s">
        <v>723</v>
      </c>
      <c r="Y263" s="4" t="s">
        <v>32</v>
      </c>
      <c r="Z263" s="10" t="str">
        <f>_xlfn.DISPIMG("ID_20835FD7B70F4FECBC5782C2FE789B63",1)</f>
        <v>=DISPIMG("ID_20835FD7B70F4FECBC5782C2FE789B63",1)</v>
      </c>
      <c r="AA263" s="10" t="s">
        <v>34</v>
      </c>
      <c r="AB263" s="10" t="s">
        <v>724</v>
      </c>
      <c r="AC263" s="10"/>
    </row>
    <row r="264" s="2" customFormat="1" ht="108.05" spans="1:29">
      <c r="A264" s="10" t="s">
        <v>29</v>
      </c>
      <c r="B264" s="23" t="s">
        <v>685</v>
      </c>
      <c r="C264" s="28" t="s">
        <v>686</v>
      </c>
      <c r="D264" s="29" t="s">
        <v>718</v>
      </c>
      <c r="E264" s="23"/>
      <c r="F264" s="23"/>
      <c r="G264" s="35"/>
      <c r="H264" s="23" t="s">
        <v>725</v>
      </c>
      <c r="I264" s="10"/>
      <c r="J264" s="10"/>
      <c r="K264" s="10"/>
      <c r="L264" s="10"/>
      <c r="M264" s="10"/>
      <c r="N264" s="10"/>
      <c r="O264" s="10"/>
      <c r="P264" s="10"/>
      <c r="Q264" s="10"/>
      <c r="R264" s="10"/>
      <c r="S264" s="62" t="s">
        <v>726</v>
      </c>
      <c r="T264" s="4" t="s">
        <v>32</v>
      </c>
      <c r="U264" s="62" t="s">
        <v>726</v>
      </c>
      <c r="V264" s="10" t="s">
        <v>33</v>
      </c>
      <c r="W264" s="23"/>
      <c r="X264" s="62" t="s">
        <v>726</v>
      </c>
      <c r="Y264" s="4" t="s">
        <v>32</v>
      </c>
      <c r="Z264" s="10" t="str">
        <f>_xlfn.DISPIMG("ID_4FB0475F8FC04C69A794EF43134F1AE5",1)</f>
        <v>=DISPIMG("ID_4FB0475F8FC04C69A794EF43134F1AE5",1)</v>
      </c>
      <c r="AA264" s="10" t="s">
        <v>34</v>
      </c>
      <c r="AB264" s="10" t="s">
        <v>727</v>
      </c>
      <c r="AC264" s="10"/>
    </row>
    <row r="265" s="2" customFormat="1" ht="108.05" spans="1:29">
      <c r="A265" s="10" t="s">
        <v>29</v>
      </c>
      <c r="B265" s="23" t="s">
        <v>685</v>
      </c>
      <c r="C265" s="28" t="s">
        <v>686</v>
      </c>
      <c r="D265" s="29" t="s">
        <v>718</v>
      </c>
      <c r="E265" s="23"/>
      <c r="F265" s="23"/>
      <c r="G265" s="35"/>
      <c r="H265" s="23" t="s">
        <v>728</v>
      </c>
      <c r="I265" s="10"/>
      <c r="J265" s="10"/>
      <c r="K265" s="10"/>
      <c r="L265" s="10"/>
      <c r="M265" s="10"/>
      <c r="N265" s="10"/>
      <c r="O265" s="10"/>
      <c r="P265" s="10"/>
      <c r="Q265" s="10"/>
      <c r="R265" s="10"/>
      <c r="S265" s="62" t="s">
        <v>729</v>
      </c>
      <c r="T265" s="4" t="s">
        <v>32</v>
      </c>
      <c r="U265" s="62" t="s">
        <v>729</v>
      </c>
      <c r="V265" s="10" t="s">
        <v>33</v>
      </c>
      <c r="W265" s="23"/>
      <c r="X265" s="62" t="s">
        <v>729</v>
      </c>
      <c r="Y265" s="4" t="s">
        <v>32</v>
      </c>
      <c r="Z265" s="10" t="str">
        <f>_xlfn.DISPIMG("ID_49A9043EA27E41E9BDB3024B42B9E5FE",1)</f>
        <v>=DISPIMG("ID_49A9043EA27E41E9BDB3024B42B9E5FE",1)</v>
      </c>
      <c r="AA265" s="10" t="s">
        <v>34</v>
      </c>
      <c r="AB265" s="10" t="s">
        <v>730</v>
      </c>
      <c r="AC265" s="10"/>
    </row>
    <row r="266" s="2" customFormat="1" ht="108.05" spans="1:29">
      <c r="A266" s="10" t="s">
        <v>29</v>
      </c>
      <c r="B266" s="23" t="s">
        <v>685</v>
      </c>
      <c r="C266" s="28" t="s">
        <v>686</v>
      </c>
      <c r="D266" s="29" t="s">
        <v>718</v>
      </c>
      <c r="E266" s="23"/>
      <c r="F266" s="23"/>
      <c r="G266" s="35"/>
      <c r="H266" s="23" t="s">
        <v>731</v>
      </c>
      <c r="I266" s="10"/>
      <c r="J266" s="10"/>
      <c r="K266" s="10"/>
      <c r="L266" s="10"/>
      <c r="M266" s="10"/>
      <c r="N266" s="10"/>
      <c r="O266" s="10"/>
      <c r="P266" s="10"/>
      <c r="Q266" s="10"/>
      <c r="R266" s="10"/>
      <c r="S266" s="62" t="s">
        <v>732</v>
      </c>
      <c r="T266" s="4" t="s">
        <v>32</v>
      </c>
      <c r="U266" s="62" t="s">
        <v>732</v>
      </c>
      <c r="V266" s="10" t="s">
        <v>33</v>
      </c>
      <c r="W266" s="23"/>
      <c r="X266" s="62" t="s">
        <v>732</v>
      </c>
      <c r="Y266" s="4" t="s">
        <v>32</v>
      </c>
      <c r="Z266" s="10" t="str">
        <f>_xlfn.DISPIMG("ID_ADC8CCD54DEF404F85F5F47C2AEEED44",1)</f>
        <v>=DISPIMG("ID_ADC8CCD54DEF404F85F5F47C2AEEED44",1)</v>
      </c>
      <c r="AA266" s="10" t="s">
        <v>34</v>
      </c>
      <c r="AB266" s="10" t="s">
        <v>733</v>
      </c>
      <c r="AC266" s="10"/>
    </row>
    <row r="267" s="2" customFormat="1" ht="108.2" spans="1:29">
      <c r="A267" s="10" t="s">
        <v>29</v>
      </c>
      <c r="B267" s="23" t="s">
        <v>685</v>
      </c>
      <c r="C267" s="28" t="s">
        <v>686</v>
      </c>
      <c r="D267" s="29" t="s">
        <v>718</v>
      </c>
      <c r="E267" s="23"/>
      <c r="F267" s="23"/>
      <c r="G267" s="35"/>
      <c r="H267" s="23" t="s">
        <v>734</v>
      </c>
      <c r="I267" s="10"/>
      <c r="J267" s="10"/>
      <c r="K267" s="10"/>
      <c r="L267" s="10"/>
      <c r="M267" s="10"/>
      <c r="N267" s="10"/>
      <c r="O267" s="10"/>
      <c r="P267" s="10"/>
      <c r="Q267" s="10"/>
      <c r="R267" s="10"/>
      <c r="S267" s="62" t="s">
        <v>735</v>
      </c>
      <c r="T267" s="4" t="s">
        <v>32</v>
      </c>
      <c r="U267" s="62" t="s">
        <v>735</v>
      </c>
      <c r="V267" s="10" t="s">
        <v>33</v>
      </c>
      <c r="W267" s="23"/>
      <c r="X267" s="62" t="s">
        <v>735</v>
      </c>
      <c r="Y267" s="4" t="s">
        <v>32</v>
      </c>
      <c r="Z267" s="10" t="str">
        <f>_xlfn.DISPIMG("ID_7AD714BF3BEA42D89D3926FAF28CEEE7",1)</f>
        <v>=DISPIMG("ID_7AD714BF3BEA42D89D3926FAF28CEEE7",1)</v>
      </c>
      <c r="AA267" s="10" t="s">
        <v>34</v>
      </c>
      <c r="AB267" s="10" t="s">
        <v>736</v>
      </c>
      <c r="AC267" s="10"/>
    </row>
    <row r="268" s="2" customFormat="1" ht="109.5" spans="1:29">
      <c r="A268" s="10" t="s">
        <v>29</v>
      </c>
      <c r="B268" s="23" t="s">
        <v>685</v>
      </c>
      <c r="C268" s="28" t="s">
        <v>686</v>
      </c>
      <c r="D268" s="29" t="s">
        <v>737</v>
      </c>
      <c r="E268" s="23"/>
      <c r="F268" s="23"/>
      <c r="G268" s="35"/>
      <c r="H268" s="23" t="s">
        <v>738</v>
      </c>
      <c r="I268" s="10"/>
      <c r="J268" s="10"/>
      <c r="K268" s="10"/>
      <c r="L268" s="10"/>
      <c r="M268" s="10"/>
      <c r="N268" s="10"/>
      <c r="O268" s="10"/>
      <c r="P268" s="10"/>
      <c r="Q268" s="10"/>
      <c r="R268" s="10"/>
      <c r="S268" s="62" t="s">
        <v>739</v>
      </c>
      <c r="T268" s="4" t="s">
        <v>32</v>
      </c>
      <c r="U268" s="62" t="s">
        <v>739</v>
      </c>
      <c r="V268" s="10" t="s">
        <v>33</v>
      </c>
      <c r="W268" s="23"/>
      <c r="X268" s="62" t="s">
        <v>739</v>
      </c>
      <c r="Y268" s="4" t="s">
        <v>32</v>
      </c>
      <c r="Z268" s="10" t="str">
        <f>_xlfn.DISPIMG("ID_0ECB4EA1124540BEAA96FA796AEEF6AA",1)</f>
        <v>=DISPIMG("ID_0ECB4EA1124540BEAA96FA796AEEF6AA",1)</v>
      </c>
      <c r="AA268" s="10" t="s">
        <v>34</v>
      </c>
      <c r="AB268" s="10" t="s">
        <v>740</v>
      </c>
      <c r="AC268" s="10"/>
    </row>
    <row r="269" s="2" customFormat="1" ht="109" spans="1:29">
      <c r="A269" s="10" t="s">
        <v>29</v>
      </c>
      <c r="B269" s="23" t="s">
        <v>685</v>
      </c>
      <c r="C269" s="28" t="s">
        <v>686</v>
      </c>
      <c r="D269" s="29" t="s">
        <v>737</v>
      </c>
      <c r="E269" s="23"/>
      <c r="F269" s="23"/>
      <c r="G269" s="35"/>
      <c r="H269" s="23" t="s">
        <v>741</v>
      </c>
      <c r="I269" s="10"/>
      <c r="J269" s="10"/>
      <c r="K269" s="10"/>
      <c r="L269" s="10"/>
      <c r="M269" s="10"/>
      <c r="N269" s="10"/>
      <c r="O269" s="10"/>
      <c r="P269" s="10"/>
      <c r="Q269" s="10"/>
      <c r="R269" s="10"/>
      <c r="S269" s="62" t="s">
        <v>742</v>
      </c>
      <c r="T269" s="4" t="s">
        <v>32</v>
      </c>
      <c r="U269" s="62" t="s">
        <v>742</v>
      </c>
      <c r="V269" s="10" t="s">
        <v>33</v>
      </c>
      <c r="W269" s="23"/>
      <c r="X269" s="62" t="s">
        <v>742</v>
      </c>
      <c r="Y269" s="4" t="s">
        <v>32</v>
      </c>
      <c r="Z269" s="10" t="str">
        <f>_xlfn.DISPIMG("ID_BBA9BE94E1574BD99646EC44F68ADCB1",1)</f>
        <v>=DISPIMG("ID_BBA9BE94E1574BD99646EC44F68ADCB1",1)</v>
      </c>
      <c r="AA269" s="10" t="s">
        <v>34</v>
      </c>
      <c r="AB269" s="10" t="s">
        <v>743</v>
      </c>
      <c r="AC269" s="10"/>
    </row>
    <row r="270" s="2" customFormat="1" ht="107.95" spans="1:29">
      <c r="A270" s="10" t="s">
        <v>29</v>
      </c>
      <c r="B270" s="23" t="s">
        <v>685</v>
      </c>
      <c r="C270" s="28" t="s">
        <v>686</v>
      </c>
      <c r="D270" s="29" t="s">
        <v>737</v>
      </c>
      <c r="E270" s="23"/>
      <c r="F270" s="23"/>
      <c r="G270" s="35"/>
      <c r="H270" s="23" t="s">
        <v>744</v>
      </c>
      <c r="I270" s="10"/>
      <c r="J270" s="10"/>
      <c r="K270" s="10"/>
      <c r="L270" s="10"/>
      <c r="M270" s="10"/>
      <c r="N270" s="10"/>
      <c r="O270" s="10"/>
      <c r="P270" s="10"/>
      <c r="Q270" s="10"/>
      <c r="R270" s="10"/>
      <c r="S270" s="62" t="s">
        <v>745</v>
      </c>
      <c r="T270" s="4" t="s">
        <v>32</v>
      </c>
      <c r="U270" s="62" t="s">
        <v>745</v>
      </c>
      <c r="V270" s="10" t="s">
        <v>33</v>
      </c>
      <c r="W270" s="23"/>
      <c r="X270" s="62" t="s">
        <v>745</v>
      </c>
      <c r="Y270" s="4" t="s">
        <v>32</v>
      </c>
      <c r="Z270" s="10" t="str">
        <f>_xlfn.DISPIMG("ID_EA81B9BA509C44F7BFB8BDF03585BF93",1)</f>
        <v>=DISPIMG("ID_EA81B9BA509C44F7BFB8BDF03585BF93",1)</v>
      </c>
      <c r="AA270" s="10" t="s">
        <v>34</v>
      </c>
      <c r="AB270" s="10" t="s">
        <v>746</v>
      </c>
      <c r="AC270" s="10"/>
    </row>
    <row r="271" s="2" customFormat="1" ht="106.5" spans="1:29">
      <c r="A271" s="10" t="s">
        <v>29</v>
      </c>
      <c r="B271" s="23" t="s">
        <v>685</v>
      </c>
      <c r="C271" s="28" t="s">
        <v>686</v>
      </c>
      <c r="D271" s="29" t="s">
        <v>737</v>
      </c>
      <c r="E271" s="23"/>
      <c r="F271" s="23"/>
      <c r="G271" s="35"/>
      <c r="H271" s="23" t="s">
        <v>747</v>
      </c>
      <c r="I271" s="10"/>
      <c r="J271" s="10"/>
      <c r="K271" s="10"/>
      <c r="L271" s="10"/>
      <c r="M271" s="10"/>
      <c r="N271" s="10"/>
      <c r="O271" s="10"/>
      <c r="P271" s="10"/>
      <c r="Q271" s="10"/>
      <c r="R271" s="10"/>
      <c r="S271" s="62" t="s">
        <v>748</v>
      </c>
      <c r="T271" s="4" t="s">
        <v>32</v>
      </c>
      <c r="U271" s="62" t="s">
        <v>748</v>
      </c>
      <c r="V271" s="10" t="s">
        <v>33</v>
      </c>
      <c r="W271" s="23"/>
      <c r="X271" s="62" t="s">
        <v>748</v>
      </c>
      <c r="Y271" s="4" t="s">
        <v>32</v>
      </c>
      <c r="Z271" s="10" t="str">
        <f>_xlfn.DISPIMG("ID_3075FF6127B74A4587596258E08E884B",1)</f>
        <v>=DISPIMG("ID_3075FF6127B74A4587596258E08E884B",1)</v>
      </c>
      <c r="AA271" s="10" t="s">
        <v>34</v>
      </c>
      <c r="AB271" s="10" t="s">
        <v>749</v>
      </c>
      <c r="AC271" s="10"/>
    </row>
    <row r="272" s="2" customFormat="1" ht="116.05" spans="1:29">
      <c r="A272" s="10" t="s">
        <v>29</v>
      </c>
      <c r="B272" s="23" t="s">
        <v>685</v>
      </c>
      <c r="C272" s="28" t="s">
        <v>686</v>
      </c>
      <c r="D272" s="29" t="s">
        <v>737</v>
      </c>
      <c r="E272" s="28"/>
      <c r="F272" s="23"/>
      <c r="G272" s="35"/>
      <c r="H272" s="28" t="s">
        <v>750</v>
      </c>
      <c r="I272" s="10"/>
      <c r="J272" s="10"/>
      <c r="K272" s="10"/>
      <c r="L272" s="10"/>
      <c r="M272" s="10"/>
      <c r="N272" s="10"/>
      <c r="O272" s="10"/>
      <c r="P272" s="10"/>
      <c r="Q272" s="10"/>
      <c r="R272" s="10"/>
      <c r="S272" s="63" t="s">
        <v>751</v>
      </c>
      <c r="T272" s="4" t="s">
        <v>32</v>
      </c>
      <c r="U272" s="63" t="s">
        <v>751</v>
      </c>
      <c r="V272" s="10" t="s">
        <v>33</v>
      </c>
      <c r="W272" s="23"/>
      <c r="X272" s="63" t="s">
        <v>751</v>
      </c>
      <c r="Y272" s="4" t="s">
        <v>32</v>
      </c>
      <c r="Z272" s="10" t="str">
        <f>_xlfn.DISPIMG("ID_3B15D0F35BC54A47B5C94DAF2D4CC512",1)</f>
        <v>=DISPIMG("ID_3B15D0F35BC54A47B5C94DAF2D4CC512",1)</v>
      </c>
      <c r="AA272" s="10" t="s">
        <v>34</v>
      </c>
      <c r="AB272" s="10" t="s">
        <v>752</v>
      </c>
      <c r="AC272" s="10"/>
    </row>
    <row r="273" s="2" customFormat="1" ht="114.95" spans="1:29">
      <c r="A273" s="10" t="s">
        <v>29</v>
      </c>
      <c r="B273" s="23" t="s">
        <v>685</v>
      </c>
      <c r="C273" s="28" t="s">
        <v>686</v>
      </c>
      <c r="D273" s="29" t="s">
        <v>737</v>
      </c>
      <c r="E273" s="28"/>
      <c r="F273" s="23"/>
      <c r="G273" s="35"/>
      <c r="H273" s="28"/>
      <c r="I273" s="10"/>
      <c r="J273" s="10"/>
      <c r="K273" s="10"/>
      <c r="L273" s="10"/>
      <c r="M273" s="10"/>
      <c r="N273" s="10"/>
      <c r="O273" s="10"/>
      <c r="P273" s="10"/>
      <c r="Q273" s="10"/>
      <c r="R273" s="10"/>
      <c r="S273" s="63" t="s">
        <v>753</v>
      </c>
      <c r="T273" s="4" t="s">
        <v>32</v>
      </c>
      <c r="U273" s="63" t="s">
        <v>753</v>
      </c>
      <c r="V273" s="10" t="s">
        <v>33</v>
      </c>
      <c r="W273" s="23"/>
      <c r="X273" s="63" t="s">
        <v>753</v>
      </c>
      <c r="Y273" s="4" t="s">
        <v>32</v>
      </c>
      <c r="Z273" s="10" t="str">
        <f>_xlfn.DISPIMG("ID_A004AECE6CFE469CA3166DFE9C88B772",1)</f>
        <v>=DISPIMG("ID_A004AECE6CFE469CA3166DFE9C88B772",1)</v>
      </c>
      <c r="AA273" s="10" t="s">
        <v>34</v>
      </c>
      <c r="AB273" s="10" t="s">
        <v>754</v>
      </c>
      <c r="AC273" s="10"/>
    </row>
    <row r="274" s="2" customFormat="1" ht="119.15" spans="1:29">
      <c r="A274" s="10" t="s">
        <v>29</v>
      </c>
      <c r="B274" s="23" t="s">
        <v>685</v>
      </c>
      <c r="C274" s="28" t="s">
        <v>755</v>
      </c>
      <c r="D274" s="29" t="s">
        <v>687</v>
      </c>
      <c r="E274" s="23"/>
      <c r="F274" s="23"/>
      <c r="G274" s="35"/>
      <c r="H274" s="23" t="s">
        <v>688</v>
      </c>
      <c r="I274" s="10"/>
      <c r="J274" s="10"/>
      <c r="K274" s="10"/>
      <c r="L274" s="10"/>
      <c r="M274" s="10"/>
      <c r="N274" s="10"/>
      <c r="O274" s="10"/>
      <c r="P274" s="10"/>
      <c r="Q274" s="10"/>
      <c r="R274" s="10"/>
      <c r="S274" s="62" t="s">
        <v>756</v>
      </c>
      <c r="T274" s="4" t="s">
        <v>32</v>
      </c>
      <c r="U274" s="62" t="s">
        <v>756</v>
      </c>
      <c r="V274" s="10" t="s">
        <v>33</v>
      </c>
      <c r="W274" s="23"/>
      <c r="X274" s="62" t="s">
        <v>756</v>
      </c>
      <c r="Y274" s="4" t="s">
        <v>32</v>
      </c>
      <c r="Z274" s="10" t="str">
        <f>_xlfn.DISPIMG("ID_A43887F8774C478C8372E71C492A4114",1)</f>
        <v>=DISPIMG("ID_A43887F8774C478C8372E71C492A4114",1)</v>
      </c>
      <c r="AA274" s="10" t="s">
        <v>34</v>
      </c>
      <c r="AB274" s="10" t="s">
        <v>757</v>
      </c>
      <c r="AC274" s="10"/>
    </row>
    <row r="275" s="2" customFormat="1" ht="116.25" spans="1:29">
      <c r="A275" s="10" t="s">
        <v>29</v>
      </c>
      <c r="B275" s="23" t="s">
        <v>685</v>
      </c>
      <c r="C275" s="28" t="s">
        <v>755</v>
      </c>
      <c r="D275" s="29" t="s">
        <v>687</v>
      </c>
      <c r="E275" s="29"/>
      <c r="F275" s="23"/>
      <c r="G275" s="35"/>
      <c r="H275" s="29" t="s">
        <v>695</v>
      </c>
      <c r="I275" s="10"/>
      <c r="J275" s="10"/>
      <c r="K275" s="10"/>
      <c r="L275" s="10"/>
      <c r="M275" s="10"/>
      <c r="N275" s="10"/>
      <c r="O275" s="10"/>
      <c r="P275" s="10"/>
      <c r="Q275" s="10"/>
      <c r="R275" s="10"/>
      <c r="S275" s="62" t="s">
        <v>758</v>
      </c>
      <c r="T275" s="4" t="s">
        <v>32</v>
      </c>
      <c r="U275" s="62" t="s">
        <v>758</v>
      </c>
      <c r="V275" s="10" t="s">
        <v>33</v>
      </c>
      <c r="W275" s="23"/>
      <c r="X275" s="62" t="s">
        <v>758</v>
      </c>
      <c r="Y275" s="4" t="s">
        <v>32</v>
      </c>
      <c r="Z275" s="10" t="str">
        <f>_xlfn.DISPIMG("ID_FA0CA3E40E8E43B99B2E050049240FBC",1)</f>
        <v>=DISPIMG("ID_FA0CA3E40E8E43B99B2E050049240FBC",1)</v>
      </c>
      <c r="AA275" s="10" t="s">
        <v>34</v>
      </c>
      <c r="AB275" s="10" t="s">
        <v>759</v>
      </c>
      <c r="AC275" s="10"/>
    </row>
    <row r="276" s="2" customFormat="1" ht="133.2" spans="1:29">
      <c r="A276" s="10" t="s">
        <v>29</v>
      </c>
      <c r="B276" s="23" t="s">
        <v>685</v>
      </c>
      <c r="C276" s="28" t="s">
        <v>755</v>
      </c>
      <c r="D276" s="29" t="s">
        <v>687</v>
      </c>
      <c r="E276" s="29"/>
      <c r="F276" s="23"/>
      <c r="G276" s="35"/>
      <c r="H276" s="29"/>
      <c r="I276" s="10"/>
      <c r="J276" s="10"/>
      <c r="K276" s="10"/>
      <c r="L276" s="10"/>
      <c r="M276" s="10"/>
      <c r="N276" s="10"/>
      <c r="O276" s="10"/>
      <c r="P276" s="10"/>
      <c r="Q276" s="10"/>
      <c r="R276" s="10"/>
      <c r="S276" s="62" t="s">
        <v>760</v>
      </c>
      <c r="T276" s="4" t="s">
        <v>32</v>
      </c>
      <c r="U276" s="62" t="s">
        <v>760</v>
      </c>
      <c r="V276" s="10" t="s">
        <v>33</v>
      </c>
      <c r="W276" s="23"/>
      <c r="X276" s="62" t="s">
        <v>760</v>
      </c>
      <c r="Y276" s="4" t="s">
        <v>32</v>
      </c>
      <c r="Z276" s="10" t="str">
        <f>_xlfn.DISPIMG("ID_11B3329169664169A2B9932E43E76771",1)</f>
        <v>=DISPIMG("ID_11B3329169664169A2B9932E43E76771",1)</v>
      </c>
      <c r="AA276" s="10" t="s">
        <v>34</v>
      </c>
      <c r="AB276" s="10" t="s">
        <v>761</v>
      </c>
      <c r="AC276" s="10"/>
    </row>
    <row r="277" s="2" customFormat="1" ht="165.8" spans="1:29">
      <c r="A277" s="10" t="s">
        <v>29</v>
      </c>
      <c r="B277" s="23" t="s">
        <v>685</v>
      </c>
      <c r="C277" s="28" t="s">
        <v>755</v>
      </c>
      <c r="D277" s="29" t="s">
        <v>687</v>
      </c>
      <c r="E277" s="29"/>
      <c r="F277" s="23"/>
      <c r="G277" s="35"/>
      <c r="H277" s="29"/>
      <c r="I277" s="10"/>
      <c r="J277" s="10"/>
      <c r="K277" s="10"/>
      <c r="L277" s="10"/>
      <c r="M277" s="10"/>
      <c r="N277" s="10"/>
      <c r="O277" s="10"/>
      <c r="P277" s="10"/>
      <c r="Q277" s="10"/>
      <c r="R277" s="10"/>
      <c r="S277" s="62" t="s">
        <v>762</v>
      </c>
      <c r="T277" s="4" t="s">
        <v>32</v>
      </c>
      <c r="U277" s="62" t="s">
        <v>762</v>
      </c>
      <c r="V277" s="10" t="s">
        <v>33</v>
      </c>
      <c r="W277" s="23"/>
      <c r="X277" s="62" t="s">
        <v>762</v>
      </c>
      <c r="Y277" s="4" t="s">
        <v>32</v>
      </c>
      <c r="Z277" s="10" t="str">
        <f>_xlfn.DISPIMG("ID_7C112FE1858B480D973EEB03B5D9B15D",1)</f>
        <v>=DISPIMG("ID_7C112FE1858B480D973EEB03B5D9B15D",1)</v>
      </c>
      <c r="AA277" s="10" t="s">
        <v>34</v>
      </c>
      <c r="AB277" s="10" t="s">
        <v>763</v>
      </c>
      <c r="AC277" s="10"/>
    </row>
    <row r="278" s="2" customFormat="1" ht="145.8" spans="1:29">
      <c r="A278" s="10" t="s">
        <v>29</v>
      </c>
      <c r="B278" s="23" t="s">
        <v>685</v>
      </c>
      <c r="C278" s="28" t="s">
        <v>755</v>
      </c>
      <c r="D278" s="29" t="s">
        <v>687</v>
      </c>
      <c r="E278" s="29"/>
      <c r="F278" s="23"/>
      <c r="G278" s="35"/>
      <c r="H278" s="29"/>
      <c r="I278" s="10"/>
      <c r="J278" s="10"/>
      <c r="K278" s="10"/>
      <c r="L278" s="10"/>
      <c r="M278" s="10"/>
      <c r="N278" s="10"/>
      <c r="O278" s="10"/>
      <c r="P278" s="10"/>
      <c r="Q278" s="10"/>
      <c r="R278" s="10"/>
      <c r="S278" s="62" t="s">
        <v>764</v>
      </c>
      <c r="T278" s="4" t="s">
        <v>32</v>
      </c>
      <c r="U278" s="62" t="s">
        <v>764</v>
      </c>
      <c r="V278" s="10" t="s">
        <v>33</v>
      </c>
      <c r="W278" s="23"/>
      <c r="X278" s="62" t="s">
        <v>764</v>
      </c>
      <c r="Y278" s="4" t="s">
        <v>32</v>
      </c>
      <c r="Z278" s="10" t="str">
        <f>_xlfn.DISPIMG("ID_194E2DF4308D43278416ECB45B949AF6",1)</f>
        <v>=DISPIMG("ID_194E2DF4308D43278416ECB45B949AF6",1)</v>
      </c>
      <c r="AA278" s="10" t="s">
        <v>34</v>
      </c>
      <c r="AB278" s="10" t="s">
        <v>765</v>
      </c>
      <c r="AC278" s="10"/>
    </row>
    <row r="279" s="2" customFormat="1" ht="83.1" spans="1:29">
      <c r="A279" s="10" t="s">
        <v>29</v>
      </c>
      <c r="B279" s="23" t="s">
        <v>685</v>
      </c>
      <c r="C279" s="28" t="s">
        <v>755</v>
      </c>
      <c r="D279" s="29" t="s">
        <v>687</v>
      </c>
      <c r="E279" s="29"/>
      <c r="F279" s="23"/>
      <c r="G279" s="35"/>
      <c r="H279" s="29"/>
      <c r="I279" s="10"/>
      <c r="J279" s="10"/>
      <c r="K279" s="10"/>
      <c r="L279" s="10"/>
      <c r="M279" s="10"/>
      <c r="N279" s="10"/>
      <c r="O279" s="10"/>
      <c r="P279" s="10"/>
      <c r="Q279" s="10"/>
      <c r="R279" s="10"/>
      <c r="S279" s="62" t="s">
        <v>766</v>
      </c>
      <c r="T279" s="4" t="s">
        <v>32</v>
      </c>
      <c r="U279" s="62" t="s">
        <v>766</v>
      </c>
      <c r="V279" s="10" t="s">
        <v>33</v>
      </c>
      <c r="W279" s="23"/>
      <c r="X279" s="62" t="s">
        <v>766</v>
      </c>
      <c r="Y279" s="4" t="s">
        <v>32</v>
      </c>
      <c r="Z279" s="10" t="str">
        <f>_xlfn.DISPIMG("ID_E83A4408B5504DE8939C85229367DB73",1)</f>
        <v>=DISPIMG("ID_E83A4408B5504DE8939C85229367DB73",1)</v>
      </c>
      <c r="AA279" s="10" t="s">
        <v>34</v>
      </c>
      <c r="AB279" s="10" t="s">
        <v>767</v>
      </c>
      <c r="AC279" s="10"/>
    </row>
    <row r="280" s="2" customFormat="1" ht="119.6" spans="1:29">
      <c r="A280" s="10" t="s">
        <v>29</v>
      </c>
      <c r="B280" s="23" t="s">
        <v>685</v>
      </c>
      <c r="C280" s="28" t="s">
        <v>755</v>
      </c>
      <c r="D280" s="29" t="s">
        <v>687</v>
      </c>
      <c r="E280" s="29"/>
      <c r="F280" s="23"/>
      <c r="G280" s="35"/>
      <c r="H280" s="29"/>
      <c r="I280" s="10"/>
      <c r="J280" s="10"/>
      <c r="K280" s="10"/>
      <c r="L280" s="10"/>
      <c r="M280" s="10"/>
      <c r="N280" s="10"/>
      <c r="O280" s="10"/>
      <c r="P280" s="10"/>
      <c r="Q280" s="10"/>
      <c r="R280" s="10"/>
      <c r="S280" s="62" t="s">
        <v>768</v>
      </c>
      <c r="T280" s="4" t="s">
        <v>32</v>
      </c>
      <c r="U280" s="62" t="s">
        <v>768</v>
      </c>
      <c r="V280" s="10" t="s">
        <v>33</v>
      </c>
      <c r="W280" s="23"/>
      <c r="X280" s="62" t="s">
        <v>768</v>
      </c>
      <c r="Y280" s="4" t="s">
        <v>32</v>
      </c>
      <c r="Z280" s="10" t="str">
        <f>_xlfn.DISPIMG("ID_01C5F4B3BF3A4926965AC6115B1FED75",1)</f>
        <v>=DISPIMG("ID_01C5F4B3BF3A4926965AC6115B1FED75",1)</v>
      </c>
      <c r="AA280" s="10" t="s">
        <v>34</v>
      </c>
      <c r="AB280" s="10" t="s">
        <v>769</v>
      </c>
      <c r="AC280" s="10"/>
    </row>
    <row r="281" s="2" customFormat="1" ht="116.65" spans="1:29">
      <c r="A281" s="10" t="s">
        <v>29</v>
      </c>
      <c r="B281" s="23" t="s">
        <v>685</v>
      </c>
      <c r="C281" s="28" t="s">
        <v>755</v>
      </c>
      <c r="D281" s="29" t="s">
        <v>687</v>
      </c>
      <c r="E281" s="29"/>
      <c r="F281" s="23"/>
      <c r="G281" s="35"/>
      <c r="H281" s="29" t="s">
        <v>770</v>
      </c>
      <c r="I281" s="10"/>
      <c r="J281" s="10"/>
      <c r="K281" s="10"/>
      <c r="L281" s="10"/>
      <c r="M281" s="10"/>
      <c r="N281" s="10"/>
      <c r="O281" s="10"/>
      <c r="P281" s="10"/>
      <c r="Q281" s="10"/>
      <c r="R281" s="10"/>
      <c r="S281" s="63" t="s">
        <v>771</v>
      </c>
      <c r="T281" s="4" t="s">
        <v>32</v>
      </c>
      <c r="U281" s="63" t="s">
        <v>771</v>
      </c>
      <c r="V281" s="10" t="s">
        <v>33</v>
      </c>
      <c r="W281" s="23"/>
      <c r="X281" s="63" t="s">
        <v>771</v>
      </c>
      <c r="Y281" s="4" t="s">
        <v>32</v>
      </c>
      <c r="Z281" s="10" t="str">
        <f>_xlfn.DISPIMG("ID_1A3E1E2FE872474F88D461F7B9A18D69",1)</f>
        <v>=DISPIMG("ID_1A3E1E2FE872474F88D461F7B9A18D69",1)</v>
      </c>
      <c r="AA281" s="10" t="s">
        <v>34</v>
      </c>
      <c r="AB281" s="10" t="s">
        <v>772</v>
      </c>
      <c r="AC281" s="10"/>
    </row>
    <row r="282" s="2" customFormat="1" ht="119.15" spans="1:29">
      <c r="A282" s="10" t="s">
        <v>29</v>
      </c>
      <c r="B282" s="23" t="s">
        <v>685</v>
      </c>
      <c r="C282" s="28" t="s">
        <v>755</v>
      </c>
      <c r="D282" s="29" t="s">
        <v>687</v>
      </c>
      <c r="E282" s="29"/>
      <c r="F282" s="23"/>
      <c r="G282" s="35"/>
      <c r="H282" s="29"/>
      <c r="I282" s="10"/>
      <c r="J282" s="10"/>
      <c r="K282" s="10"/>
      <c r="L282" s="10"/>
      <c r="M282" s="10"/>
      <c r="N282" s="10"/>
      <c r="O282" s="10"/>
      <c r="P282" s="10"/>
      <c r="Q282" s="10"/>
      <c r="R282" s="10"/>
      <c r="S282" s="62" t="s">
        <v>773</v>
      </c>
      <c r="T282" s="4" t="s">
        <v>32</v>
      </c>
      <c r="U282" s="62" t="s">
        <v>773</v>
      </c>
      <c r="V282" s="10" t="s">
        <v>33</v>
      </c>
      <c r="W282" s="23"/>
      <c r="X282" s="62" t="s">
        <v>773</v>
      </c>
      <c r="Y282" s="4" t="s">
        <v>32</v>
      </c>
      <c r="Z282" s="10" t="str">
        <f>_xlfn.DISPIMG("ID_D208BB710EAC4C3A932DA6A0D309C5CD",1)</f>
        <v>=DISPIMG("ID_D208BB710EAC4C3A932DA6A0D309C5CD",1)</v>
      </c>
      <c r="AA282" s="10" t="s">
        <v>34</v>
      </c>
      <c r="AB282" s="10" t="s">
        <v>774</v>
      </c>
      <c r="AC282" s="10"/>
    </row>
    <row r="283" s="2" customFormat="1" ht="116.6" spans="1:29">
      <c r="A283" s="10" t="s">
        <v>29</v>
      </c>
      <c r="B283" s="23" t="s">
        <v>685</v>
      </c>
      <c r="C283" s="28" t="s">
        <v>755</v>
      </c>
      <c r="D283" s="29" t="s">
        <v>687</v>
      </c>
      <c r="E283" s="29"/>
      <c r="F283" s="29"/>
      <c r="G283" s="35"/>
      <c r="H283" s="29"/>
      <c r="I283" s="10"/>
      <c r="J283" s="10"/>
      <c r="K283" s="10"/>
      <c r="L283" s="10"/>
      <c r="M283" s="10"/>
      <c r="N283" s="10"/>
      <c r="O283" s="10"/>
      <c r="P283" s="10"/>
      <c r="Q283" s="10"/>
      <c r="R283" s="10"/>
      <c r="S283" s="62" t="s">
        <v>775</v>
      </c>
      <c r="T283" s="4" t="s">
        <v>32</v>
      </c>
      <c r="U283" s="62" t="s">
        <v>775</v>
      </c>
      <c r="V283" s="10" t="s">
        <v>33</v>
      </c>
      <c r="W283" s="23"/>
      <c r="X283" s="62" t="s">
        <v>775</v>
      </c>
      <c r="Y283" s="4" t="s">
        <v>32</v>
      </c>
      <c r="Z283" s="10" t="str">
        <f>_xlfn.DISPIMG("ID_3F0C4EE344374E8C9ACA210C6AC8562B",1)</f>
        <v>=DISPIMG("ID_3F0C4EE344374E8C9ACA210C6AC8562B",1)</v>
      </c>
      <c r="AA283" s="10" t="s">
        <v>34</v>
      </c>
      <c r="AB283" s="10" t="s">
        <v>776</v>
      </c>
      <c r="AC283" s="10"/>
    </row>
    <row r="284" s="2" customFormat="1" ht="115.25" spans="1:29">
      <c r="A284" s="10" t="s">
        <v>29</v>
      </c>
      <c r="B284" s="23" t="s">
        <v>685</v>
      </c>
      <c r="C284" s="28" t="s">
        <v>755</v>
      </c>
      <c r="D284" s="29" t="s">
        <v>687</v>
      </c>
      <c r="E284" s="29"/>
      <c r="F284" s="29"/>
      <c r="G284" s="35"/>
      <c r="H284" s="29"/>
      <c r="I284" s="10"/>
      <c r="J284" s="10"/>
      <c r="K284" s="10"/>
      <c r="L284" s="10"/>
      <c r="M284" s="10"/>
      <c r="N284" s="10"/>
      <c r="O284" s="10"/>
      <c r="P284" s="10"/>
      <c r="Q284" s="10"/>
      <c r="R284" s="10"/>
      <c r="S284" s="63" t="s">
        <v>777</v>
      </c>
      <c r="T284" s="4" t="s">
        <v>32</v>
      </c>
      <c r="U284" s="63" t="s">
        <v>777</v>
      </c>
      <c r="V284" s="10" t="s">
        <v>33</v>
      </c>
      <c r="W284" s="23"/>
      <c r="X284" s="63" t="s">
        <v>777</v>
      </c>
      <c r="Y284" s="4" t="s">
        <v>32</v>
      </c>
      <c r="Z284" s="10" t="str">
        <f>_xlfn.DISPIMG("ID_88718000B9C443EF99C05E1B4B5008C7",1)</f>
        <v>=DISPIMG("ID_88718000B9C443EF99C05E1B4B5008C7",1)</v>
      </c>
      <c r="AA284" s="10" t="s">
        <v>34</v>
      </c>
      <c r="AB284" s="10" t="s">
        <v>778</v>
      </c>
      <c r="AC284" s="10"/>
    </row>
    <row r="285" s="2" customFormat="1" ht="171.7" spans="1:29">
      <c r="A285" s="10" t="s">
        <v>29</v>
      </c>
      <c r="B285" s="23" t="s">
        <v>685</v>
      </c>
      <c r="C285" s="28" t="s">
        <v>755</v>
      </c>
      <c r="D285" s="29" t="s">
        <v>687</v>
      </c>
      <c r="E285" s="23"/>
      <c r="F285" s="23"/>
      <c r="G285" s="35"/>
      <c r="H285" s="23" t="s">
        <v>706</v>
      </c>
      <c r="I285" s="10"/>
      <c r="J285" s="10"/>
      <c r="K285" s="10"/>
      <c r="L285" s="10"/>
      <c r="M285" s="10"/>
      <c r="N285" s="10"/>
      <c r="O285" s="10"/>
      <c r="P285" s="10"/>
      <c r="Q285" s="10"/>
      <c r="R285" s="10"/>
      <c r="S285" s="62" t="s">
        <v>779</v>
      </c>
      <c r="T285" s="4" t="s">
        <v>32</v>
      </c>
      <c r="U285" s="62" t="s">
        <v>779</v>
      </c>
      <c r="V285" s="10" t="s">
        <v>33</v>
      </c>
      <c r="W285" s="23"/>
      <c r="X285" s="62" t="s">
        <v>779</v>
      </c>
      <c r="Y285" s="4" t="s">
        <v>32</v>
      </c>
      <c r="Z285" s="10" t="str">
        <f>_xlfn.DISPIMG("ID_91E391C4EE9C41FA888323D42C464C71",1)</f>
        <v>=DISPIMG("ID_91E391C4EE9C41FA888323D42C464C71",1)</v>
      </c>
      <c r="AA285" s="10" t="s">
        <v>34</v>
      </c>
      <c r="AB285" s="10" t="s">
        <v>780</v>
      </c>
      <c r="AC285" s="10"/>
    </row>
    <row r="286" s="2" customFormat="1" ht="108.5" spans="1:29">
      <c r="A286" s="10" t="s">
        <v>29</v>
      </c>
      <c r="B286" s="23" t="s">
        <v>685</v>
      </c>
      <c r="C286" s="28" t="s">
        <v>755</v>
      </c>
      <c r="D286" s="29" t="s">
        <v>687</v>
      </c>
      <c r="E286" s="23"/>
      <c r="F286" s="23"/>
      <c r="G286" s="35"/>
      <c r="H286" s="23" t="s">
        <v>781</v>
      </c>
      <c r="I286" s="10"/>
      <c r="J286" s="10"/>
      <c r="K286" s="10"/>
      <c r="L286" s="10"/>
      <c r="M286" s="10"/>
      <c r="N286" s="10"/>
      <c r="O286" s="10"/>
      <c r="P286" s="10"/>
      <c r="Q286" s="10"/>
      <c r="R286" s="10"/>
      <c r="S286" s="62" t="s">
        <v>782</v>
      </c>
      <c r="T286" s="4" t="s">
        <v>32</v>
      </c>
      <c r="U286" s="62" t="s">
        <v>782</v>
      </c>
      <c r="V286" s="10" t="s">
        <v>33</v>
      </c>
      <c r="W286" s="23"/>
      <c r="X286" s="62" t="s">
        <v>782</v>
      </c>
      <c r="Y286" s="4" t="s">
        <v>32</v>
      </c>
      <c r="Z286" s="10" t="str">
        <f>_xlfn.DISPIMG("ID_1A9BC0C4F1C941F89F8924CFFB55DE7E",1)</f>
        <v>=DISPIMG("ID_1A9BC0C4F1C941F89F8924CFFB55DE7E",1)</v>
      </c>
      <c r="AA286" s="10" t="s">
        <v>34</v>
      </c>
      <c r="AB286" s="10" t="s">
        <v>783</v>
      </c>
      <c r="AC286" s="10"/>
    </row>
    <row r="287" s="2" customFormat="1" ht="123.4" spans="1:29">
      <c r="A287" s="10" t="s">
        <v>29</v>
      </c>
      <c r="B287" s="23" t="s">
        <v>685</v>
      </c>
      <c r="C287" s="28" t="s">
        <v>755</v>
      </c>
      <c r="D287" s="29" t="s">
        <v>687</v>
      </c>
      <c r="E287" s="28"/>
      <c r="F287" s="10"/>
      <c r="G287" s="35"/>
      <c r="H287" s="28" t="s">
        <v>710</v>
      </c>
      <c r="I287" s="10"/>
      <c r="J287" s="10"/>
      <c r="K287" s="10"/>
      <c r="L287" s="10"/>
      <c r="M287" s="10"/>
      <c r="N287" s="10"/>
      <c r="O287" s="10"/>
      <c r="P287" s="10"/>
      <c r="Q287" s="10"/>
      <c r="R287" s="10"/>
      <c r="S287" s="63" t="s">
        <v>784</v>
      </c>
      <c r="T287" s="4" t="s">
        <v>32</v>
      </c>
      <c r="U287" s="63" t="s">
        <v>784</v>
      </c>
      <c r="V287" s="10" t="s">
        <v>33</v>
      </c>
      <c r="W287" s="23"/>
      <c r="X287" s="63" t="s">
        <v>784</v>
      </c>
      <c r="Y287" s="4" t="s">
        <v>32</v>
      </c>
      <c r="Z287" s="10" t="str">
        <f>_xlfn.DISPIMG("ID_032334DE04F2499BB5EE6D67880FCE3A",1)</f>
        <v>=DISPIMG("ID_032334DE04F2499BB5EE6D67880FCE3A",1)</v>
      </c>
      <c r="AA287" s="10" t="s">
        <v>34</v>
      </c>
      <c r="AB287" s="10" t="s">
        <v>785</v>
      </c>
      <c r="AC287" s="10"/>
    </row>
    <row r="288" s="2" customFormat="1" ht="88.1" spans="1:29">
      <c r="A288" s="10" t="s">
        <v>29</v>
      </c>
      <c r="B288" s="23" t="s">
        <v>685</v>
      </c>
      <c r="C288" s="28" t="s">
        <v>755</v>
      </c>
      <c r="D288" s="29" t="s">
        <v>687</v>
      </c>
      <c r="E288" s="28"/>
      <c r="F288" s="10"/>
      <c r="G288" s="35"/>
      <c r="H288" s="28"/>
      <c r="I288" s="10"/>
      <c r="J288" s="10"/>
      <c r="K288" s="10"/>
      <c r="L288" s="10"/>
      <c r="M288" s="10"/>
      <c r="N288" s="10"/>
      <c r="O288" s="10"/>
      <c r="P288" s="10"/>
      <c r="Q288" s="10"/>
      <c r="R288" s="10"/>
      <c r="S288" s="62" t="s">
        <v>786</v>
      </c>
      <c r="T288" s="4" t="s">
        <v>32</v>
      </c>
      <c r="U288" s="62" t="s">
        <v>786</v>
      </c>
      <c r="V288" s="10" t="s">
        <v>33</v>
      </c>
      <c r="W288" s="23"/>
      <c r="X288" s="62" t="s">
        <v>786</v>
      </c>
      <c r="Y288" s="4" t="s">
        <v>32</v>
      </c>
      <c r="Z288" s="10" t="str">
        <f>_xlfn.DISPIMG("ID_9492241DAB184703AD8E0338A070B140",1)</f>
        <v>=DISPIMG("ID_9492241DAB184703AD8E0338A070B140",1)</v>
      </c>
      <c r="AA288" s="10" t="s">
        <v>34</v>
      </c>
      <c r="AB288" s="10" t="s">
        <v>787</v>
      </c>
      <c r="AC288" s="10"/>
    </row>
    <row r="289" s="2" customFormat="1" ht="131.85" spans="1:29">
      <c r="A289" s="10" t="s">
        <v>29</v>
      </c>
      <c r="B289" s="23" t="s">
        <v>685</v>
      </c>
      <c r="C289" s="28" t="s">
        <v>755</v>
      </c>
      <c r="D289" s="29" t="s">
        <v>687</v>
      </c>
      <c r="E289" s="28"/>
      <c r="F289" s="10"/>
      <c r="G289" s="35"/>
      <c r="H289" s="28"/>
      <c r="I289" s="10"/>
      <c r="J289" s="10"/>
      <c r="K289" s="10"/>
      <c r="L289" s="10"/>
      <c r="M289" s="10"/>
      <c r="N289" s="10"/>
      <c r="O289" s="10"/>
      <c r="P289" s="10"/>
      <c r="Q289" s="10"/>
      <c r="R289" s="10"/>
      <c r="S289" s="63" t="s">
        <v>788</v>
      </c>
      <c r="T289" s="4" t="s">
        <v>32</v>
      </c>
      <c r="U289" s="63" t="s">
        <v>788</v>
      </c>
      <c r="V289" s="10" t="s">
        <v>33</v>
      </c>
      <c r="W289" s="23"/>
      <c r="X289" s="63" t="s">
        <v>788</v>
      </c>
      <c r="Y289" s="4" t="s">
        <v>32</v>
      </c>
      <c r="Z289" s="10" t="str">
        <f>_xlfn.DISPIMG("ID_6DB9FAAE2D134FE899494B511C873B51",1)</f>
        <v>=DISPIMG("ID_6DB9FAAE2D134FE899494B511C873B51",1)</v>
      </c>
      <c r="AA289" s="10" t="s">
        <v>34</v>
      </c>
      <c r="AB289" s="10" t="s">
        <v>789</v>
      </c>
      <c r="AC289" s="10"/>
    </row>
    <row r="290" s="2" customFormat="1" ht="66" spans="1:29">
      <c r="A290" s="10" t="s">
        <v>29</v>
      </c>
      <c r="B290" s="23" t="s">
        <v>685</v>
      </c>
      <c r="C290" s="28" t="s">
        <v>755</v>
      </c>
      <c r="D290" s="29" t="s">
        <v>718</v>
      </c>
      <c r="E290" s="23"/>
      <c r="F290" s="23"/>
      <c r="G290" s="35"/>
      <c r="H290" s="29" t="s">
        <v>718</v>
      </c>
      <c r="I290" s="10"/>
      <c r="J290" s="10"/>
      <c r="K290" s="10"/>
      <c r="L290" s="10"/>
      <c r="M290" s="10"/>
      <c r="N290" s="10"/>
      <c r="O290" s="10"/>
      <c r="P290" s="10"/>
      <c r="Q290" s="10"/>
      <c r="R290" s="10"/>
      <c r="S290" s="63" t="s">
        <v>790</v>
      </c>
      <c r="T290" s="4" t="s">
        <v>32</v>
      </c>
      <c r="U290" s="63" t="s">
        <v>790</v>
      </c>
      <c r="V290" s="10" t="s">
        <v>33</v>
      </c>
      <c r="W290" s="23"/>
      <c r="X290" s="63" t="s">
        <v>790</v>
      </c>
      <c r="Y290" s="4" t="s">
        <v>32</v>
      </c>
      <c r="Z290" s="10"/>
      <c r="AA290" s="10" t="s">
        <v>34</v>
      </c>
      <c r="AB290" s="10" t="s">
        <v>791</v>
      </c>
      <c r="AC290" s="10"/>
    </row>
    <row r="291" s="2" customFormat="1" ht="49.5" spans="1:29">
      <c r="A291" s="10" t="s">
        <v>29</v>
      </c>
      <c r="B291" s="23" t="s">
        <v>685</v>
      </c>
      <c r="C291" s="28" t="s">
        <v>755</v>
      </c>
      <c r="D291" s="29" t="s">
        <v>718</v>
      </c>
      <c r="E291" s="23"/>
      <c r="F291" s="23"/>
      <c r="G291" s="35"/>
      <c r="H291" s="29"/>
      <c r="I291" s="10"/>
      <c r="J291" s="10"/>
      <c r="K291" s="10"/>
      <c r="L291" s="10"/>
      <c r="M291" s="10"/>
      <c r="N291" s="10"/>
      <c r="O291" s="10"/>
      <c r="P291" s="10"/>
      <c r="Q291" s="10"/>
      <c r="R291" s="10"/>
      <c r="S291" s="63" t="s">
        <v>792</v>
      </c>
      <c r="T291" s="4" t="s">
        <v>32</v>
      </c>
      <c r="U291" s="63" t="s">
        <v>792</v>
      </c>
      <c r="V291" s="10" t="s">
        <v>33</v>
      </c>
      <c r="W291" s="23"/>
      <c r="X291" s="63" t="s">
        <v>792</v>
      </c>
      <c r="Y291" s="4" t="s">
        <v>32</v>
      </c>
      <c r="Z291" s="10"/>
      <c r="AA291" s="10" t="s">
        <v>34</v>
      </c>
      <c r="AB291" s="10" t="s">
        <v>793</v>
      </c>
      <c r="AC291" s="10"/>
    </row>
    <row r="292" s="2" customFormat="1" ht="66" spans="1:29">
      <c r="A292" s="10" t="s">
        <v>29</v>
      </c>
      <c r="B292" s="23" t="s">
        <v>685</v>
      </c>
      <c r="C292" s="28" t="s">
        <v>755</v>
      </c>
      <c r="D292" s="29" t="s">
        <v>718</v>
      </c>
      <c r="E292" s="23"/>
      <c r="F292" s="23"/>
      <c r="G292" s="35"/>
      <c r="H292" s="29"/>
      <c r="I292" s="10"/>
      <c r="J292" s="10"/>
      <c r="K292" s="10"/>
      <c r="L292" s="10"/>
      <c r="M292" s="10"/>
      <c r="N292" s="10"/>
      <c r="O292" s="10"/>
      <c r="P292" s="10"/>
      <c r="Q292" s="10"/>
      <c r="R292" s="10"/>
      <c r="S292" s="63" t="s">
        <v>794</v>
      </c>
      <c r="T292" s="4" t="s">
        <v>32</v>
      </c>
      <c r="U292" s="63" t="s">
        <v>794</v>
      </c>
      <c r="V292" s="10" t="s">
        <v>33</v>
      </c>
      <c r="W292" s="23"/>
      <c r="X292" s="63" t="s">
        <v>794</v>
      </c>
      <c r="Y292" s="4" t="s">
        <v>32</v>
      </c>
      <c r="Z292" s="10"/>
      <c r="AA292" s="10" t="s">
        <v>34</v>
      </c>
      <c r="AB292" s="10" t="s">
        <v>795</v>
      </c>
      <c r="AC292" s="10"/>
    </row>
    <row r="293" s="2" customFormat="1" ht="66" spans="1:29">
      <c r="A293" s="10" t="s">
        <v>29</v>
      </c>
      <c r="B293" s="23" t="s">
        <v>685</v>
      </c>
      <c r="C293" s="28" t="s">
        <v>755</v>
      </c>
      <c r="D293" s="29" t="s">
        <v>718</v>
      </c>
      <c r="E293" s="23"/>
      <c r="F293" s="23"/>
      <c r="G293" s="35"/>
      <c r="H293" s="29"/>
      <c r="I293" s="10"/>
      <c r="J293" s="10"/>
      <c r="K293" s="10"/>
      <c r="L293" s="10"/>
      <c r="M293" s="10"/>
      <c r="N293" s="10"/>
      <c r="O293" s="10"/>
      <c r="P293" s="10"/>
      <c r="Q293" s="10"/>
      <c r="R293" s="10"/>
      <c r="S293" s="63" t="s">
        <v>796</v>
      </c>
      <c r="T293" s="4" t="s">
        <v>32</v>
      </c>
      <c r="U293" s="63" t="s">
        <v>796</v>
      </c>
      <c r="V293" s="10" t="s">
        <v>33</v>
      </c>
      <c r="W293" s="23"/>
      <c r="X293" s="63" t="s">
        <v>796</v>
      </c>
      <c r="Y293" s="4" t="s">
        <v>32</v>
      </c>
      <c r="Z293" s="10"/>
      <c r="AA293" s="10" t="s">
        <v>34</v>
      </c>
      <c r="AB293" s="10" t="s">
        <v>797</v>
      </c>
      <c r="AC293" s="10"/>
    </row>
    <row r="294" s="2" customFormat="1" ht="66" spans="1:29">
      <c r="A294" s="10" t="s">
        <v>29</v>
      </c>
      <c r="B294" s="23" t="s">
        <v>685</v>
      </c>
      <c r="C294" s="28" t="s">
        <v>755</v>
      </c>
      <c r="D294" s="29" t="s">
        <v>718</v>
      </c>
      <c r="E294" s="23"/>
      <c r="F294" s="23"/>
      <c r="G294" s="35"/>
      <c r="H294" s="29"/>
      <c r="I294" s="10"/>
      <c r="J294" s="10"/>
      <c r="K294" s="10"/>
      <c r="L294" s="10"/>
      <c r="M294" s="10"/>
      <c r="N294" s="10"/>
      <c r="O294" s="10"/>
      <c r="P294" s="10"/>
      <c r="Q294" s="10"/>
      <c r="R294" s="10"/>
      <c r="S294" s="63" t="s">
        <v>798</v>
      </c>
      <c r="T294" s="4" t="s">
        <v>32</v>
      </c>
      <c r="U294" s="63" t="s">
        <v>798</v>
      </c>
      <c r="V294" s="10" t="s">
        <v>33</v>
      </c>
      <c r="W294" s="23"/>
      <c r="X294" s="63" t="s">
        <v>798</v>
      </c>
      <c r="Y294" s="4" t="s">
        <v>32</v>
      </c>
      <c r="Z294" s="10"/>
      <c r="AA294" s="10" t="s">
        <v>34</v>
      </c>
      <c r="AB294" s="10" t="s">
        <v>799</v>
      </c>
      <c r="AC294" s="10"/>
    </row>
    <row r="295" s="2" customFormat="1" ht="66" spans="1:29">
      <c r="A295" s="10" t="s">
        <v>29</v>
      </c>
      <c r="B295" s="23" t="s">
        <v>685</v>
      </c>
      <c r="C295" s="28" t="s">
        <v>755</v>
      </c>
      <c r="D295" s="29" t="s">
        <v>718</v>
      </c>
      <c r="E295" s="23"/>
      <c r="F295" s="23"/>
      <c r="G295" s="35"/>
      <c r="H295" s="29"/>
      <c r="I295" s="10"/>
      <c r="J295" s="10"/>
      <c r="K295" s="10"/>
      <c r="L295" s="10"/>
      <c r="M295" s="10"/>
      <c r="N295" s="10"/>
      <c r="O295" s="10"/>
      <c r="P295" s="10"/>
      <c r="Q295" s="10"/>
      <c r="R295" s="10"/>
      <c r="S295" s="63" t="s">
        <v>800</v>
      </c>
      <c r="T295" s="4" t="s">
        <v>32</v>
      </c>
      <c r="U295" s="63" t="s">
        <v>800</v>
      </c>
      <c r="V295" s="10" t="s">
        <v>33</v>
      </c>
      <c r="W295" s="23"/>
      <c r="X295" s="63" t="s">
        <v>800</v>
      </c>
      <c r="Y295" s="4" t="s">
        <v>32</v>
      </c>
      <c r="Z295" s="10"/>
      <c r="AA295" s="10" t="s">
        <v>34</v>
      </c>
      <c r="AB295" s="10" t="s">
        <v>801</v>
      </c>
      <c r="AC295" s="10"/>
    </row>
    <row r="296" s="2" customFormat="1" ht="49.5" spans="1:29">
      <c r="A296" s="10" t="s">
        <v>29</v>
      </c>
      <c r="B296" s="23" t="s">
        <v>685</v>
      </c>
      <c r="C296" s="28" t="s">
        <v>755</v>
      </c>
      <c r="D296" s="29" t="s">
        <v>718</v>
      </c>
      <c r="E296" s="23"/>
      <c r="F296" s="23"/>
      <c r="G296" s="35"/>
      <c r="H296" s="29"/>
      <c r="I296" s="10"/>
      <c r="J296" s="10"/>
      <c r="K296" s="10"/>
      <c r="L296" s="10"/>
      <c r="M296" s="10"/>
      <c r="N296" s="10"/>
      <c r="O296" s="10"/>
      <c r="P296" s="10"/>
      <c r="Q296" s="10"/>
      <c r="R296" s="10"/>
      <c r="S296" s="63" t="s">
        <v>802</v>
      </c>
      <c r="T296" s="4" t="s">
        <v>32</v>
      </c>
      <c r="U296" s="63" t="s">
        <v>802</v>
      </c>
      <c r="V296" s="10" t="s">
        <v>33</v>
      </c>
      <c r="W296" s="23"/>
      <c r="X296" s="63" t="s">
        <v>802</v>
      </c>
      <c r="Y296" s="4" t="s">
        <v>32</v>
      </c>
      <c r="Z296" s="10"/>
      <c r="AA296" s="10" t="s">
        <v>34</v>
      </c>
      <c r="AB296" s="10" t="s">
        <v>803</v>
      </c>
      <c r="AC296" s="10"/>
    </row>
    <row r="297" s="2" customFormat="1" ht="66" spans="1:29">
      <c r="A297" s="10" t="s">
        <v>29</v>
      </c>
      <c r="B297" s="23" t="s">
        <v>685</v>
      </c>
      <c r="C297" s="28" t="s">
        <v>755</v>
      </c>
      <c r="D297" s="29" t="s">
        <v>737</v>
      </c>
      <c r="E297" s="10"/>
      <c r="F297" s="23"/>
      <c r="G297" s="35"/>
      <c r="H297" s="29" t="s">
        <v>737</v>
      </c>
      <c r="I297" s="10"/>
      <c r="J297" s="10"/>
      <c r="K297" s="10"/>
      <c r="L297" s="10"/>
      <c r="M297" s="10"/>
      <c r="N297" s="10"/>
      <c r="O297" s="10"/>
      <c r="P297" s="10"/>
      <c r="Q297" s="10"/>
      <c r="R297" s="10"/>
      <c r="S297" s="63" t="s">
        <v>804</v>
      </c>
      <c r="T297" s="4" t="s">
        <v>32</v>
      </c>
      <c r="U297" s="63" t="s">
        <v>804</v>
      </c>
      <c r="V297" s="10" t="s">
        <v>33</v>
      </c>
      <c r="W297" s="23"/>
      <c r="X297" s="63" t="s">
        <v>804</v>
      </c>
      <c r="Y297" s="4" t="s">
        <v>32</v>
      </c>
      <c r="Z297" s="10"/>
      <c r="AA297" s="10" t="s">
        <v>34</v>
      </c>
      <c r="AB297" s="10" t="s">
        <v>805</v>
      </c>
      <c r="AC297" s="10"/>
    </row>
    <row r="298" s="2" customFormat="1" ht="82.5" spans="1:29">
      <c r="A298" s="10" t="s">
        <v>29</v>
      </c>
      <c r="B298" s="23" t="s">
        <v>685</v>
      </c>
      <c r="C298" s="28" t="s">
        <v>755</v>
      </c>
      <c r="D298" s="29" t="s">
        <v>737</v>
      </c>
      <c r="E298" s="10"/>
      <c r="F298" s="23"/>
      <c r="G298" s="35"/>
      <c r="H298" s="29"/>
      <c r="I298" s="10"/>
      <c r="J298" s="10"/>
      <c r="K298" s="10"/>
      <c r="L298" s="10"/>
      <c r="M298" s="10"/>
      <c r="N298" s="10"/>
      <c r="O298" s="10"/>
      <c r="P298" s="10"/>
      <c r="Q298" s="10"/>
      <c r="R298" s="10"/>
      <c r="S298" s="63" t="s">
        <v>806</v>
      </c>
      <c r="T298" s="4" t="s">
        <v>68</v>
      </c>
      <c r="U298" s="63" t="s">
        <v>807</v>
      </c>
      <c r="V298" s="10" t="s">
        <v>33</v>
      </c>
      <c r="W298" s="23"/>
      <c r="X298" s="63" t="s">
        <v>806</v>
      </c>
      <c r="Y298" s="4" t="s">
        <v>68</v>
      </c>
      <c r="Z298" s="10"/>
      <c r="AA298" s="10" t="s">
        <v>34</v>
      </c>
      <c r="AB298" s="10" t="s">
        <v>808</v>
      </c>
      <c r="AC298" s="10"/>
    </row>
    <row r="299" s="2" customFormat="1" ht="79.55" spans="1:29">
      <c r="A299" s="10" t="s">
        <v>29</v>
      </c>
      <c r="B299" s="23" t="s">
        <v>685</v>
      </c>
      <c r="C299" s="28" t="s">
        <v>809</v>
      </c>
      <c r="D299" s="29" t="s">
        <v>687</v>
      </c>
      <c r="E299" s="10"/>
      <c r="F299" s="23"/>
      <c r="G299" s="35"/>
      <c r="H299" s="10" t="s">
        <v>810</v>
      </c>
      <c r="I299" s="10"/>
      <c r="J299" s="10"/>
      <c r="K299" s="10"/>
      <c r="L299" s="10"/>
      <c r="M299" s="10"/>
      <c r="N299" s="10"/>
      <c r="O299" s="10"/>
      <c r="P299" s="10"/>
      <c r="Q299" s="10"/>
      <c r="R299" s="10"/>
      <c r="S299" s="63" t="s">
        <v>811</v>
      </c>
      <c r="T299" s="4" t="s">
        <v>32</v>
      </c>
      <c r="U299" s="63" t="s">
        <v>811</v>
      </c>
      <c r="V299" s="10" t="s">
        <v>33</v>
      </c>
      <c r="W299" s="23"/>
      <c r="X299" s="63" t="s">
        <v>811</v>
      </c>
      <c r="Y299" s="4" t="s">
        <v>32</v>
      </c>
      <c r="Z299" s="10" t="str">
        <f>_xlfn.DISPIMG("ID_497CB871F4FD4FA4AAA2E196FE284C30",1)</f>
        <v>=DISPIMG("ID_497CB871F4FD4FA4AAA2E196FE284C30",1)</v>
      </c>
      <c r="AA299" s="10" t="s">
        <v>34</v>
      </c>
      <c r="AB299" s="10" t="s">
        <v>812</v>
      </c>
      <c r="AC299" s="10"/>
    </row>
    <row r="300" s="2" customFormat="1" ht="76.1" spans="1:29">
      <c r="A300" s="10" t="s">
        <v>29</v>
      </c>
      <c r="B300" s="23" t="s">
        <v>685</v>
      </c>
      <c r="C300" s="28" t="s">
        <v>809</v>
      </c>
      <c r="D300" s="29" t="s">
        <v>687</v>
      </c>
      <c r="E300" s="28"/>
      <c r="F300" s="10"/>
      <c r="G300" s="35"/>
      <c r="H300" s="28" t="s">
        <v>770</v>
      </c>
      <c r="I300" s="10"/>
      <c r="J300" s="10"/>
      <c r="K300" s="10"/>
      <c r="L300" s="10"/>
      <c r="M300" s="10"/>
      <c r="N300" s="10"/>
      <c r="O300" s="10"/>
      <c r="P300" s="10"/>
      <c r="Q300" s="10"/>
      <c r="R300" s="10"/>
      <c r="S300" s="63" t="s">
        <v>813</v>
      </c>
      <c r="T300" s="4" t="s">
        <v>32</v>
      </c>
      <c r="U300" s="63" t="s">
        <v>813</v>
      </c>
      <c r="V300" s="10" t="s">
        <v>33</v>
      </c>
      <c r="W300" s="23"/>
      <c r="X300" s="63" t="s">
        <v>813</v>
      </c>
      <c r="Y300" s="4" t="s">
        <v>32</v>
      </c>
      <c r="Z300" s="10" t="str">
        <f>_xlfn.DISPIMG("ID_2E199A8D377749B2BFD99E3D801CA50F",1)</f>
        <v>=DISPIMG("ID_2E199A8D377749B2BFD99E3D801CA50F",1)</v>
      </c>
      <c r="AA300" s="10" t="s">
        <v>34</v>
      </c>
      <c r="AB300" s="10" t="s">
        <v>814</v>
      </c>
      <c r="AC300" s="10"/>
    </row>
    <row r="301" s="2" customFormat="1" ht="88.95" spans="1:29">
      <c r="A301" s="10" t="s">
        <v>29</v>
      </c>
      <c r="B301" s="23" t="s">
        <v>685</v>
      </c>
      <c r="C301" s="28" t="s">
        <v>809</v>
      </c>
      <c r="D301" s="29" t="s">
        <v>687</v>
      </c>
      <c r="E301" s="28"/>
      <c r="F301" s="10"/>
      <c r="G301" s="35"/>
      <c r="H301" s="28"/>
      <c r="I301" s="10"/>
      <c r="J301" s="10"/>
      <c r="K301" s="10"/>
      <c r="L301" s="10"/>
      <c r="M301" s="10"/>
      <c r="N301" s="10"/>
      <c r="O301" s="10"/>
      <c r="P301" s="10"/>
      <c r="Q301" s="10"/>
      <c r="R301" s="10"/>
      <c r="S301" s="63" t="s">
        <v>815</v>
      </c>
      <c r="T301" s="4" t="s">
        <v>32</v>
      </c>
      <c r="U301" s="63" t="s">
        <v>815</v>
      </c>
      <c r="V301" s="10" t="s">
        <v>33</v>
      </c>
      <c r="W301" s="23"/>
      <c r="X301" s="63" t="s">
        <v>815</v>
      </c>
      <c r="Y301" s="4" t="s">
        <v>32</v>
      </c>
      <c r="Z301" s="10" t="str">
        <f>_xlfn.DISPIMG("ID_2DF34C851CA044CCA9AFB08E233B570A",1)</f>
        <v>=DISPIMG("ID_2DF34C851CA044CCA9AFB08E233B570A",1)</v>
      </c>
      <c r="AA301" s="10" t="s">
        <v>34</v>
      </c>
      <c r="AB301" s="10" t="s">
        <v>816</v>
      </c>
      <c r="AC301" s="10"/>
    </row>
    <row r="302" s="2" customFormat="1" ht="116.8" spans="1:29">
      <c r="A302" s="10" t="s">
        <v>29</v>
      </c>
      <c r="B302" s="23" t="s">
        <v>685</v>
      </c>
      <c r="C302" s="28" t="s">
        <v>809</v>
      </c>
      <c r="D302" s="29" t="s">
        <v>687</v>
      </c>
      <c r="E302" s="28"/>
      <c r="F302" s="10"/>
      <c r="G302" s="35"/>
      <c r="H302" s="28"/>
      <c r="I302" s="10"/>
      <c r="J302" s="10"/>
      <c r="K302" s="10"/>
      <c r="L302" s="10"/>
      <c r="M302" s="10"/>
      <c r="N302" s="10"/>
      <c r="O302" s="10"/>
      <c r="P302" s="10"/>
      <c r="Q302" s="10"/>
      <c r="R302" s="10"/>
      <c r="S302" s="63" t="s">
        <v>817</v>
      </c>
      <c r="T302" s="4" t="s">
        <v>32</v>
      </c>
      <c r="U302" s="63" t="s">
        <v>817</v>
      </c>
      <c r="V302" s="10" t="s">
        <v>33</v>
      </c>
      <c r="W302" s="23"/>
      <c r="X302" s="63" t="s">
        <v>817</v>
      </c>
      <c r="Y302" s="4" t="s">
        <v>32</v>
      </c>
      <c r="Z302" s="10" t="str">
        <f>_xlfn.DISPIMG("ID_AE8396AF69714C6289AA6B960EC06495",1)</f>
        <v>=DISPIMG("ID_AE8396AF69714C6289AA6B960EC06495",1)</v>
      </c>
      <c r="AA302" s="10" t="s">
        <v>34</v>
      </c>
      <c r="AB302" s="10" t="s">
        <v>818</v>
      </c>
      <c r="AC302" s="10"/>
    </row>
    <row r="303" s="2" customFormat="1" ht="116.45" spans="1:29">
      <c r="A303" s="10" t="s">
        <v>29</v>
      </c>
      <c r="B303" s="23" t="s">
        <v>685</v>
      </c>
      <c r="C303" s="28" t="s">
        <v>809</v>
      </c>
      <c r="D303" s="29" t="s">
        <v>687</v>
      </c>
      <c r="E303" s="28"/>
      <c r="F303" s="10"/>
      <c r="G303" s="35"/>
      <c r="H303" s="28"/>
      <c r="I303" s="10"/>
      <c r="J303" s="10"/>
      <c r="K303" s="10"/>
      <c r="L303" s="10"/>
      <c r="M303" s="10"/>
      <c r="N303" s="10"/>
      <c r="O303" s="10"/>
      <c r="P303" s="10"/>
      <c r="Q303" s="10"/>
      <c r="R303" s="10"/>
      <c r="S303" s="63" t="s">
        <v>819</v>
      </c>
      <c r="T303" s="4" t="s">
        <v>32</v>
      </c>
      <c r="U303" s="63" t="s">
        <v>819</v>
      </c>
      <c r="V303" s="10" t="s">
        <v>33</v>
      </c>
      <c r="W303" s="23"/>
      <c r="X303" s="63" t="s">
        <v>819</v>
      </c>
      <c r="Y303" s="4" t="s">
        <v>32</v>
      </c>
      <c r="Z303" s="10" t="str">
        <f>_xlfn.DISPIMG("ID_160F7BE6D78A4C94805FCAE5FA4D7AD6",1)</f>
        <v>=DISPIMG("ID_160F7BE6D78A4C94805FCAE5FA4D7AD6",1)</v>
      </c>
      <c r="AA303" s="10" t="s">
        <v>34</v>
      </c>
      <c r="AB303" s="10" t="s">
        <v>820</v>
      </c>
      <c r="AC303" s="10"/>
    </row>
    <row r="304" s="2" customFormat="1" ht="93.25" spans="1:29">
      <c r="A304" s="10" t="s">
        <v>29</v>
      </c>
      <c r="B304" s="23" t="s">
        <v>685</v>
      </c>
      <c r="C304" s="28" t="s">
        <v>809</v>
      </c>
      <c r="D304" s="29" t="s">
        <v>687</v>
      </c>
      <c r="E304" s="28"/>
      <c r="F304" s="10"/>
      <c r="G304" s="35"/>
      <c r="H304" s="28"/>
      <c r="I304" s="10"/>
      <c r="J304" s="10"/>
      <c r="K304" s="10"/>
      <c r="L304" s="10"/>
      <c r="M304" s="10"/>
      <c r="N304" s="10"/>
      <c r="O304" s="10"/>
      <c r="P304" s="10"/>
      <c r="Q304" s="10"/>
      <c r="R304" s="10"/>
      <c r="S304" s="63" t="s">
        <v>821</v>
      </c>
      <c r="T304" s="4" t="s">
        <v>32</v>
      </c>
      <c r="U304" s="63" t="s">
        <v>821</v>
      </c>
      <c r="V304" s="10" t="s">
        <v>33</v>
      </c>
      <c r="W304" s="23"/>
      <c r="X304" s="63" t="s">
        <v>821</v>
      </c>
      <c r="Y304" s="4" t="s">
        <v>32</v>
      </c>
      <c r="Z304" s="10" t="str">
        <f>_xlfn.DISPIMG("ID_B28CE349E37D47819DBF6155EED4324A",1)</f>
        <v>=DISPIMG("ID_B28CE349E37D47819DBF6155EED4324A",1)</v>
      </c>
      <c r="AA304" s="10" t="s">
        <v>34</v>
      </c>
      <c r="AB304" s="10" t="s">
        <v>822</v>
      </c>
      <c r="AC304" s="10"/>
    </row>
    <row r="305" s="2" customFormat="1" ht="177" spans="1:29">
      <c r="A305" s="10" t="s">
        <v>29</v>
      </c>
      <c r="B305" s="23" t="s">
        <v>685</v>
      </c>
      <c r="C305" s="28" t="s">
        <v>809</v>
      </c>
      <c r="D305" s="29" t="s">
        <v>687</v>
      </c>
      <c r="E305" s="28"/>
      <c r="F305" s="10"/>
      <c r="G305" s="35"/>
      <c r="H305" s="28"/>
      <c r="I305" s="10"/>
      <c r="J305" s="10"/>
      <c r="K305" s="10"/>
      <c r="L305" s="10"/>
      <c r="M305" s="10"/>
      <c r="N305" s="10"/>
      <c r="O305" s="10"/>
      <c r="P305" s="10"/>
      <c r="Q305" s="10"/>
      <c r="R305" s="10"/>
      <c r="S305" s="63" t="s">
        <v>823</v>
      </c>
      <c r="T305" s="4" t="s">
        <v>32</v>
      </c>
      <c r="U305" s="63" t="s">
        <v>823</v>
      </c>
      <c r="V305" s="10" t="s">
        <v>33</v>
      </c>
      <c r="W305" s="23"/>
      <c r="X305" s="63" t="s">
        <v>823</v>
      </c>
      <c r="Y305" s="4" t="s">
        <v>32</v>
      </c>
      <c r="Z305" s="10" t="str">
        <f>_xlfn.DISPIMG("ID_157D7654B4B14EA9A181A4C000A4FEEC",1)</f>
        <v>=DISPIMG("ID_157D7654B4B14EA9A181A4C000A4FEEC",1)</v>
      </c>
      <c r="AA305" s="10" t="s">
        <v>34</v>
      </c>
      <c r="AB305" s="10" t="s">
        <v>824</v>
      </c>
      <c r="AC305" s="10"/>
    </row>
    <row r="306" s="2" customFormat="1" ht="117.05" spans="1:29">
      <c r="A306" s="10" t="s">
        <v>29</v>
      </c>
      <c r="B306" s="23" t="s">
        <v>685</v>
      </c>
      <c r="C306" s="28" t="s">
        <v>809</v>
      </c>
      <c r="D306" s="29" t="s">
        <v>687</v>
      </c>
      <c r="E306" s="28"/>
      <c r="F306" s="10"/>
      <c r="G306" s="35"/>
      <c r="H306" s="28"/>
      <c r="I306" s="10"/>
      <c r="J306" s="10"/>
      <c r="K306" s="10"/>
      <c r="L306" s="10"/>
      <c r="M306" s="10"/>
      <c r="N306" s="10"/>
      <c r="O306" s="10"/>
      <c r="P306" s="10"/>
      <c r="Q306" s="10"/>
      <c r="R306" s="10"/>
      <c r="S306" s="63" t="s">
        <v>825</v>
      </c>
      <c r="T306" s="4" t="s">
        <v>32</v>
      </c>
      <c r="U306" s="63" t="s">
        <v>825</v>
      </c>
      <c r="V306" s="10" t="s">
        <v>33</v>
      </c>
      <c r="W306" s="23"/>
      <c r="X306" s="63" t="s">
        <v>825</v>
      </c>
      <c r="Y306" s="4" t="s">
        <v>32</v>
      </c>
      <c r="Z306" s="10" t="str">
        <f>_xlfn.DISPIMG("ID_1B38D2BA7320440D9E50906C20F989AB",1)</f>
        <v>=DISPIMG("ID_1B38D2BA7320440D9E50906C20F989AB",1)</v>
      </c>
      <c r="AA306" s="10" t="s">
        <v>34</v>
      </c>
      <c r="AB306" s="10" t="s">
        <v>826</v>
      </c>
      <c r="AC306" s="10"/>
    </row>
    <row r="307" s="2" customFormat="1" ht="115.8" spans="1:29">
      <c r="A307" s="10" t="s">
        <v>29</v>
      </c>
      <c r="B307" s="23" t="s">
        <v>685</v>
      </c>
      <c r="C307" s="28" t="s">
        <v>809</v>
      </c>
      <c r="D307" s="29" t="s">
        <v>687</v>
      </c>
      <c r="E307" s="28"/>
      <c r="F307" s="10"/>
      <c r="G307" s="35"/>
      <c r="H307" s="28"/>
      <c r="I307" s="10"/>
      <c r="J307" s="10"/>
      <c r="K307" s="10"/>
      <c r="L307" s="10"/>
      <c r="M307" s="10"/>
      <c r="N307" s="10"/>
      <c r="O307" s="10"/>
      <c r="P307" s="10"/>
      <c r="Q307" s="10"/>
      <c r="R307" s="10"/>
      <c r="S307" s="63" t="s">
        <v>827</v>
      </c>
      <c r="T307" s="4" t="s">
        <v>32</v>
      </c>
      <c r="U307" s="63" t="s">
        <v>827</v>
      </c>
      <c r="V307" s="10" t="s">
        <v>33</v>
      </c>
      <c r="W307" s="23"/>
      <c r="X307" s="63" t="s">
        <v>827</v>
      </c>
      <c r="Y307" s="4" t="s">
        <v>32</v>
      </c>
      <c r="Z307" s="10" t="str">
        <f>_xlfn.DISPIMG("ID_E67B96374A914F64B074DD8F13B7F4A5",1)</f>
        <v>=DISPIMG("ID_E67B96374A914F64B074DD8F13B7F4A5",1)</v>
      </c>
      <c r="AA307" s="10" t="s">
        <v>34</v>
      </c>
      <c r="AB307" s="10" t="s">
        <v>828</v>
      </c>
      <c r="AC307" s="10"/>
    </row>
    <row r="308" s="2" customFormat="1" ht="117.05" spans="1:29">
      <c r="A308" s="10" t="s">
        <v>29</v>
      </c>
      <c r="B308" s="23" t="s">
        <v>685</v>
      </c>
      <c r="C308" s="28" t="s">
        <v>809</v>
      </c>
      <c r="D308" s="29" t="s">
        <v>687</v>
      </c>
      <c r="E308" s="28"/>
      <c r="F308" s="10"/>
      <c r="G308" s="35"/>
      <c r="H308" s="28"/>
      <c r="I308" s="10"/>
      <c r="J308" s="10"/>
      <c r="K308" s="10"/>
      <c r="L308" s="10"/>
      <c r="M308" s="10"/>
      <c r="N308" s="10"/>
      <c r="O308" s="10"/>
      <c r="P308" s="10"/>
      <c r="Q308" s="10"/>
      <c r="R308" s="10"/>
      <c r="S308" s="63" t="s">
        <v>829</v>
      </c>
      <c r="T308" s="4" t="s">
        <v>32</v>
      </c>
      <c r="U308" s="63" t="s">
        <v>829</v>
      </c>
      <c r="V308" s="10" t="s">
        <v>33</v>
      </c>
      <c r="W308" s="23"/>
      <c r="X308" s="63" t="s">
        <v>829</v>
      </c>
      <c r="Y308" s="4" t="s">
        <v>32</v>
      </c>
      <c r="Z308" s="10" t="str">
        <f>_xlfn.DISPIMG("ID_9B680F587D5142CEA5B18DCE7505A919",1)</f>
        <v>=DISPIMG("ID_9B680F587D5142CEA5B18DCE7505A919",1)</v>
      </c>
      <c r="AA308" s="10" t="s">
        <v>34</v>
      </c>
      <c r="AB308" s="10" t="s">
        <v>830</v>
      </c>
      <c r="AC308" s="10"/>
    </row>
    <row r="309" s="2" customFormat="1" ht="114.1" spans="1:29">
      <c r="A309" s="10" t="s">
        <v>29</v>
      </c>
      <c r="B309" s="23" t="s">
        <v>685</v>
      </c>
      <c r="C309" s="28" t="s">
        <v>809</v>
      </c>
      <c r="D309" s="29" t="s">
        <v>687</v>
      </c>
      <c r="E309" s="28"/>
      <c r="F309" s="10"/>
      <c r="G309" s="35"/>
      <c r="H309" s="28"/>
      <c r="I309" s="10"/>
      <c r="J309" s="10"/>
      <c r="K309" s="10"/>
      <c r="L309" s="10"/>
      <c r="M309" s="10"/>
      <c r="N309" s="10"/>
      <c r="O309" s="10"/>
      <c r="P309" s="10"/>
      <c r="Q309" s="10"/>
      <c r="R309" s="10"/>
      <c r="S309" s="63" t="s">
        <v>831</v>
      </c>
      <c r="T309" s="4" t="s">
        <v>32</v>
      </c>
      <c r="U309" s="63" t="s">
        <v>831</v>
      </c>
      <c r="V309" s="10" t="s">
        <v>33</v>
      </c>
      <c r="W309" s="23"/>
      <c r="X309" s="63" t="s">
        <v>831</v>
      </c>
      <c r="Y309" s="4" t="s">
        <v>32</v>
      </c>
      <c r="Z309" s="10" t="str">
        <f>_xlfn.DISPIMG("ID_CA36B085279648D4A74E30731E745A2F",1)</f>
        <v>=DISPIMG("ID_CA36B085279648D4A74E30731E745A2F",1)</v>
      </c>
      <c r="AA309" s="10" t="s">
        <v>34</v>
      </c>
      <c r="AB309" s="10" t="s">
        <v>832</v>
      </c>
      <c r="AC309" s="10"/>
    </row>
    <row r="310" s="2" customFormat="1" ht="80.8" spans="1:29">
      <c r="A310" s="10" t="s">
        <v>29</v>
      </c>
      <c r="B310" s="23" t="s">
        <v>685</v>
      </c>
      <c r="C310" s="28" t="s">
        <v>809</v>
      </c>
      <c r="D310" s="29" t="s">
        <v>687</v>
      </c>
      <c r="E310" s="28"/>
      <c r="F310" s="10"/>
      <c r="G310" s="35"/>
      <c r="H310" s="28"/>
      <c r="I310" s="10"/>
      <c r="J310" s="10"/>
      <c r="K310" s="10"/>
      <c r="L310" s="10"/>
      <c r="M310" s="10"/>
      <c r="N310" s="10"/>
      <c r="O310" s="10"/>
      <c r="P310" s="10"/>
      <c r="Q310" s="10"/>
      <c r="R310" s="10"/>
      <c r="S310" s="63" t="s">
        <v>833</v>
      </c>
      <c r="T310" s="4" t="s">
        <v>32</v>
      </c>
      <c r="U310" s="63" t="s">
        <v>833</v>
      </c>
      <c r="V310" s="10" t="s">
        <v>33</v>
      </c>
      <c r="W310" s="23"/>
      <c r="X310" s="63" t="s">
        <v>833</v>
      </c>
      <c r="Y310" s="4" t="s">
        <v>32</v>
      </c>
      <c r="Z310" s="10" t="str">
        <f>_xlfn.DISPIMG("ID_E84D8A33AD72492296CAC34CA7DEF448",1)</f>
        <v>=DISPIMG("ID_E84D8A33AD72492296CAC34CA7DEF448",1)</v>
      </c>
      <c r="AA310" s="10" t="s">
        <v>34</v>
      </c>
      <c r="AB310" s="10" t="s">
        <v>834</v>
      </c>
      <c r="AC310" s="10"/>
    </row>
    <row r="311" s="2" customFormat="1" ht="269.85" spans="1:29">
      <c r="A311" s="10" t="s">
        <v>29</v>
      </c>
      <c r="B311" s="23" t="s">
        <v>685</v>
      </c>
      <c r="C311" s="28" t="s">
        <v>809</v>
      </c>
      <c r="D311" s="29" t="s">
        <v>687</v>
      </c>
      <c r="E311" s="28"/>
      <c r="F311" s="23"/>
      <c r="G311" s="35"/>
      <c r="H311" s="28" t="s">
        <v>835</v>
      </c>
      <c r="I311" s="10"/>
      <c r="J311" s="10"/>
      <c r="K311" s="10"/>
      <c r="L311" s="10"/>
      <c r="M311" s="10"/>
      <c r="N311" s="10"/>
      <c r="O311" s="10"/>
      <c r="P311" s="10"/>
      <c r="Q311" s="10"/>
      <c r="R311" s="10"/>
      <c r="S311" s="63" t="s">
        <v>836</v>
      </c>
      <c r="T311" s="4" t="s">
        <v>32</v>
      </c>
      <c r="U311" s="63" t="s">
        <v>836</v>
      </c>
      <c r="V311" s="10" t="s">
        <v>33</v>
      </c>
      <c r="W311" s="23"/>
      <c r="X311" s="63" t="s">
        <v>836</v>
      </c>
      <c r="Y311" s="4" t="s">
        <v>32</v>
      </c>
      <c r="Z311" s="10" t="str">
        <f>_xlfn.DISPIMG("ID_FF938C1DF0954E78B364AABD0B881F59",1)</f>
        <v>=DISPIMG("ID_FF938C1DF0954E78B364AABD0B881F59",1)</v>
      </c>
      <c r="AA311" s="10" t="s">
        <v>34</v>
      </c>
      <c r="AB311" s="10" t="s">
        <v>837</v>
      </c>
      <c r="AC311" s="10"/>
    </row>
    <row r="312" s="2" customFormat="1" ht="115.7" spans="1:29">
      <c r="A312" s="10" t="s">
        <v>29</v>
      </c>
      <c r="B312" s="23" t="s">
        <v>685</v>
      </c>
      <c r="C312" s="28" t="s">
        <v>809</v>
      </c>
      <c r="D312" s="29" t="s">
        <v>687</v>
      </c>
      <c r="E312" s="28"/>
      <c r="F312" s="23"/>
      <c r="G312" s="35"/>
      <c r="H312" s="28"/>
      <c r="I312" s="10"/>
      <c r="J312" s="10"/>
      <c r="K312" s="10"/>
      <c r="L312" s="10"/>
      <c r="M312" s="10"/>
      <c r="N312" s="10"/>
      <c r="O312" s="10"/>
      <c r="P312" s="10"/>
      <c r="Q312" s="10"/>
      <c r="R312" s="10"/>
      <c r="S312" s="62" t="s">
        <v>838</v>
      </c>
      <c r="T312" s="4" t="s">
        <v>32</v>
      </c>
      <c r="U312" s="62" t="s">
        <v>838</v>
      </c>
      <c r="V312" s="10" t="s">
        <v>33</v>
      </c>
      <c r="W312" s="23"/>
      <c r="X312" s="62" t="s">
        <v>838</v>
      </c>
      <c r="Y312" s="4" t="s">
        <v>32</v>
      </c>
      <c r="Z312" s="10" t="str">
        <f>_xlfn.DISPIMG("ID_CB1BD6F974D64E67986928F3DF42B5C0",1)</f>
        <v>=DISPIMG("ID_CB1BD6F974D64E67986928F3DF42B5C0",1)</v>
      </c>
      <c r="AA312" s="10" t="s">
        <v>34</v>
      </c>
      <c r="AB312" s="10" t="s">
        <v>839</v>
      </c>
      <c r="AC312" s="10"/>
    </row>
    <row r="313" s="2" customFormat="1" ht="95.45" spans="1:29">
      <c r="A313" s="10" t="s">
        <v>29</v>
      </c>
      <c r="B313" s="23" t="s">
        <v>685</v>
      </c>
      <c r="C313" s="28" t="s">
        <v>809</v>
      </c>
      <c r="D313" s="29" t="s">
        <v>687</v>
      </c>
      <c r="E313" s="10"/>
      <c r="F313" s="23"/>
      <c r="G313" s="35"/>
      <c r="H313" s="10" t="s">
        <v>840</v>
      </c>
      <c r="I313" s="10"/>
      <c r="J313" s="10"/>
      <c r="K313" s="10"/>
      <c r="L313" s="10"/>
      <c r="M313" s="10"/>
      <c r="N313" s="10"/>
      <c r="O313" s="10"/>
      <c r="P313" s="10"/>
      <c r="Q313" s="10"/>
      <c r="R313" s="10"/>
      <c r="S313" s="63" t="s">
        <v>841</v>
      </c>
      <c r="T313" s="4" t="s">
        <v>32</v>
      </c>
      <c r="U313" s="63" t="s">
        <v>841</v>
      </c>
      <c r="V313" s="10" t="s">
        <v>33</v>
      </c>
      <c r="W313" s="23"/>
      <c r="X313" s="63" t="s">
        <v>841</v>
      </c>
      <c r="Y313" s="4" t="s">
        <v>32</v>
      </c>
      <c r="Z313" s="10" t="str">
        <f>_xlfn.DISPIMG("ID_F2F80BBEFE9A411A83EDFEB1BA4D332A",1)</f>
        <v>=DISPIMG("ID_F2F80BBEFE9A411A83EDFEB1BA4D332A",1)</v>
      </c>
      <c r="AA313" s="10" t="s">
        <v>34</v>
      </c>
      <c r="AB313" s="10" t="s">
        <v>842</v>
      </c>
      <c r="AC313" s="10"/>
    </row>
    <row r="314" s="2" customFormat="1" ht="109.95" spans="1:29">
      <c r="A314" s="10" t="s">
        <v>29</v>
      </c>
      <c r="B314" s="23" t="s">
        <v>685</v>
      </c>
      <c r="C314" s="28" t="s">
        <v>809</v>
      </c>
      <c r="D314" s="29" t="s">
        <v>687</v>
      </c>
      <c r="E314" s="10"/>
      <c r="F314" s="23"/>
      <c r="G314" s="35"/>
      <c r="H314" s="10" t="s">
        <v>843</v>
      </c>
      <c r="I314" s="10"/>
      <c r="J314" s="10"/>
      <c r="K314" s="10"/>
      <c r="L314" s="10"/>
      <c r="M314" s="10"/>
      <c r="N314" s="10"/>
      <c r="O314" s="10"/>
      <c r="P314" s="10"/>
      <c r="Q314" s="10"/>
      <c r="R314" s="10"/>
      <c r="S314" s="63" t="s">
        <v>844</v>
      </c>
      <c r="T314" s="4" t="s">
        <v>32</v>
      </c>
      <c r="U314" s="63" t="s">
        <v>844</v>
      </c>
      <c r="V314" s="10" t="s">
        <v>33</v>
      </c>
      <c r="W314" s="23"/>
      <c r="X314" s="63" t="s">
        <v>844</v>
      </c>
      <c r="Y314" s="4" t="s">
        <v>32</v>
      </c>
      <c r="Z314" s="10" t="str">
        <f>_xlfn.DISPIMG("ID_2C22CE1A28BF4E1F93BD6DEC85B4B771",1)</f>
        <v>=DISPIMG("ID_2C22CE1A28BF4E1F93BD6DEC85B4B771",1)</v>
      </c>
      <c r="AA314" s="10" t="s">
        <v>34</v>
      </c>
      <c r="AB314" s="10" t="s">
        <v>845</v>
      </c>
      <c r="AC314" s="10"/>
    </row>
    <row r="315" s="2" customFormat="1" ht="108.8" spans="1:29">
      <c r="A315" s="10" t="s">
        <v>29</v>
      </c>
      <c r="B315" s="23" t="s">
        <v>685</v>
      </c>
      <c r="C315" s="28" t="s">
        <v>809</v>
      </c>
      <c r="D315" s="29" t="s">
        <v>687</v>
      </c>
      <c r="E315" s="10"/>
      <c r="F315" s="23"/>
      <c r="G315" s="35"/>
      <c r="H315" s="10" t="s">
        <v>846</v>
      </c>
      <c r="I315" s="10"/>
      <c r="J315" s="10"/>
      <c r="K315" s="10"/>
      <c r="L315" s="10"/>
      <c r="M315" s="10"/>
      <c r="N315" s="10"/>
      <c r="O315" s="10"/>
      <c r="P315" s="10"/>
      <c r="Q315" s="10"/>
      <c r="R315" s="10"/>
      <c r="S315" s="63" t="s">
        <v>847</v>
      </c>
      <c r="T315" s="4" t="s">
        <v>32</v>
      </c>
      <c r="U315" s="63" t="s">
        <v>847</v>
      </c>
      <c r="V315" s="10" t="s">
        <v>33</v>
      </c>
      <c r="W315" s="23"/>
      <c r="X315" s="63" t="s">
        <v>847</v>
      </c>
      <c r="Y315" s="4" t="s">
        <v>32</v>
      </c>
      <c r="Z315" s="10" t="str">
        <f>_xlfn.DISPIMG("ID_A8BF7F5D101247248DBD62100AAA777C",1)</f>
        <v>=DISPIMG("ID_A8BF7F5D101247248DBD62100AAA777C",1)</v>
      </c>
      <c r="AA315" s="10" t="s">
        <v>34</v>
      </c>
      <c r="AB315" s="10" t="s">
        <v>848</v>
      </c>
      <c r="AC315" s="10"/>
    </row>
    <row r="316" s="2" customFormat="1" ht="96.35" spans="1:29">
      <c r="A316" s="10" t="s">
        <v>29</v>
      </c>
      <c r="B316" s="23" t="s">
        <v>685</v>
      </c>
      <c r="C316" s="28" t="s">
        <v>809</v>
      </c>
      <c r="D316" s="29" t="s">
        <v>718</v>
      </c>
      <c r="E316" s="23"/>
      <c r="F316" s="23"/>
      <c r="G316" s="35"/>
      <c r="H316" s="23" t="s">
        <v>719</v>
      </c>
      <c r="I316" s="10"/>
      <c r="J316" s="10"/>
      <c r="K316" s="10"/>
      <c r="L316" s="10"/>
      <c r="M316" s="10"/>
      <c r="N316" s="10"/>
      <c r="O316" s="10"/>
      <c r="P316" s="10"/>
      <c r="Q316" s="10"/>
      <c r="R316" s="10"/>
      <c r="S316" s="63" t="s">
        <v>849</v>
      </c>
      <c r="T316" s="4" t="s">
        <v>32</v>
      </c>
      <c r="U316" s="63" t="s">
        <v>849</v>
      </c>
      <c r="V316" s="10" t="s">
        <v>33</v>
      </c>
      <c r="W316" s="23"/>
      <c r="X316" s="63" t="s">
        <v>849</v>
      </c>
      <c r="Y316" s="4" t="s">
        <v>32</v>
      </c>
      <c r="Z316" s="10" t="str">
        <f>_xlfn.DISPIMG("ID_497D39E6BB3F41D38DD58B87FB2A1CD5",1)</f>
        <v>=DISPIMG("ID_497D39E6BB3F41D38DD58B87FB2A1CD5",1)</v>
      </c>
      <c r="AA316" s="10" t="s">
        <v>34</v>
      </c>
      <c r="AB316" s="10" t="s">
        <v>850</v>
      </c>
      <c r="AC316" s="10"/>
    </row>
    <row r="317" s="2" customFormat="1" ht="106.55" spans="1:29">
      <c r="A317" s="10" t="s">
        <v>29</v>
      </c>
      <c r="B317" s="23" t="s">
        <v>685</v>
      </c>
      <c r="C317" s="28" t="s">
        <v>809</v>
      </c>
      <c r="D317" s="29" t="s">
        <v>718</v>
      </c>
      <c r="E317" s="23"/>
      <c r="F317" s="23"/>
      <c r="G317" s="35"/>
      <c r="H317" s="23" t="s">
        <v>722</v>
      </c>
      <c r="I317" s="10"/>
      <c r="J317" s="10"/>
      <c r="K317" s="10"/>
      <c r="L317" s="10"/>
      <c r="M317" s="10"/>
      <c r="N317" s="10"/>
      <c r="O317" s="10"/>
      <c r="P317" s="10"/>
      <c r="Q317" s="10"/>
      <c r="R317" s="10"/>
      <c r="S317" s="63" t="s">
        <v>851</v>
      </c>
      <c r="T317" s="4" t="s">
        <v>32</v>
      </c>
      <c r="U317" s="63" t="s">
        <v>851</v>
      </c>
      <c r="V317" s="10" t="s">
        <v>33</v>
      </c>
      <c r="W317" s="23"/>
      <c r="X317" s="63" t="s">
        <v>851</v>
      </c>
      <c r="Y317" s="4" t="s">
        <v>32</v>
      </c>
      <c r="Z317" s="10" t="str">
        <f>_xlfn.DISPIMG("ID_46479667308348238E0E6CE5286F8F51",1)</f>
        <v>=DISPIMG("ID_46479667308348238E0E6CE5286F8F51",1)</v>
      </c>
      <c r="AA317" s="10" t="s">
        <v>34</v>
      </c>
      <c r="AB317" s="10" t="s">
        <v>852</v>
      </c>
      <c r="AC317" s="10"/>
    </row>
    <row r="318" s="2" customFormat="1" ht="107.15" spans="1:29">
      <c r="A318" s="10" t="s">
        <v>29</v>
      </c>
      <c r="B318" s="23" t="s">
        <v>685</v>
      </c>
      <c r="C318" s="28" t="s">
        <v>809</v>
      </c>
      <c r="D318" s="29" t="s">
        <v>718</v>
      </c>
      <c r="E318" s="23"/>
      <c r="F318" s="23"/>
      <c r="G318" s="35"/>
      <c r="H318" s="23" t="s">
        <v>725</v>
      </c>
      <c r="I318" s="10"/>
      <c r="J318" s="10"/>
      <c r="K318" s="10"/>
      <c r="L318" s="10"/>
      <c r="M318" s="10"/>
      <c r="N318" s="10"/>
      <c r="O318" s="10"/>
      <c r="P318" s="10"/>
      <c r="Q318" s="10"/>
      <c r="R318" s="10"/>
      <c r="S318" s="63" t="s">
        <v>853</v>
      </c>
      <c r="T318" s="4" t="s">
        <v>32</v>
      </c>
      <c r="U318" s="63" t="s">
        <v>853</v>
      </c>
      <c r="V318" s="10" t="s">
        <v>33</v>
      </c>
      <c r="W318" s="23"/>
      <c r="X318" s="63" t="s">
        <v>853</v>
      </c>
      <c r="Y318" s="4" t="s">
        <v>32</v>
      </c>
      <c r="Z318" s="10" t="str">
        <f>_xlfn.DISPIMG("ID_8BAD950E2AC245DAB39ADE1EE57C43F3",1)</f>
        <v>=DISPIMG("ID_8BAD950E2AC245DAB39ADE1EE57C43F3",1)</v>
      </c>
      <c r="AA318" s="10" t="s">
        <v>34</v>
      </c>
      <c r="AB318" s="10" t="s">
        <v>854</v>
      </c>
      <c r="AC318" s="10"/>
    </row>
    <row r="319" s="2" customFormat="1" ht="110.7" spans="1:29">
      <c r="A319" s="10" t="s">
        <v>29</v>
      </c>
      <c r="B319" s="23" t="s">
        <v>685</v>
      </c>
      <c r="C319" s="28" t="s">
        <v>809</v>
      </c>
      <c r="D319" s="29" t="s">
        <v>718</v>
      </c>
      <c r="E319" s="23"/>
      <c r="F319" s="23"/>
      <c r="G319" s="35"/>
      <c r="H319" s="23" t="s">
        <v>734</v>
      </c>
      <c r="I319" s="10"/>
      <c r="J319" s="10"/>
      <c r="K319" s="10"/>
      <c r="L319" s="10"/>
      <c r="M319" s="10"/>
      <c r="N319" s="10"/>
      <c r="O319" s="10"/>
      <c r="P319" s="10"/>
      <c r="Q319" s="10"/>
      <c r="R319" s="10"/>
      <c r="S319" s="63" t="s">
        <v>855</v>
      </c>
      <c r="T319" s="4" t="s">
        <v>32</v>
      </c>
      <c r="U319" s="63" t="s">
        <v>855</v>
      </c>
      <c r="V319" s="10" t="s">
        <v>33</v>
      </c>
      <c r="W319" s="23"/>
      <c r="X319" s="63" t="s">
        <v>855</v>
      </c>
      <c r="Y319" s="4" t="s">
        <v>32</v>
      </c>
      <c r="Z319" s="10" t="str">
        <f>_xlfn.DISPIMG("ID_5063FCEB34DB45E698CE8C0A6F5349F3",1)</f>
        <v>=DISPIMG("ID_5063FCEB34DB45E698CE8C0A6F5349F3",1)</v>
      </c>
      <c r="AA319" s="10" t="s">
        <v>34</v>
      </c>
      <c r="AB319" s="10" t="s">
        <v>856</v>
      </c>
      <c r="AC319" s="10"/>
    </row>
    <row r="320" s="2" customFormat="1" ht="107.45" spans="1:29">
      <c r="A320" s="10" t="s">
        <v>29</v>
      </c>
      <c r="B320" s="23" t="s">
        <v>685</v>
      </c>
      <c r="C320" s="28" t="s">
        <v>809</v>
      </c>
      <c r="D320" s="29" t="s">
        <v>718</v>
      </c>
      <c r="E320" s="23"/>
      <c r="F320" s="23"/>
      <c r="G320" s="35"/>
      <c r="H320" s="23" t="s">
        <v>857</v>
      </c>
      <c r="I320" s="10"/>
      <c r="J320" s="10"/>
      <c r="K320" s="10"/>
      <c r="L320" s="10"/>
      <c r="M320" s="10"/>
      <c r="N320" s="10"/>
      <c r="O320" s="10"/>
      <c r="P320" s="10"/>
      <c r="Q320" s="10"/>
      <c r="R320" s="10"/>
      <c r="S320" s="63" t="s">
        <v>858</v>
      </c>
      <c r="T320" s="4" t="s">
        <v>32</v>
      </c>
      <c r="U320" s="63" t="s">
        <v>858</v>
      </c>
      <c r="V320" s="10" t="s">
        <v>33</v>
      </c>
      <c r="W320" s="23"/>
      <c r="X320" s="63" t="s">
        <v>858</v>
      </c>
      <c r="Y320" s="4" t="s">
        <v>32</v>
      </c>
      <c r="Z320" s="10" t="str">
        <f>_xlfn.DISPIMG("ID_F485611BB4BF475EA0689D56FE943C39",1)</f>
        <v>=DISPIMG("ID_F485611BB4BF475EA0689D56FE943C39",1)</v>
      </c>
      <c r="AA320" s="10" t="s">
        <v>34</v>
      </c>
      <c r="AB320" s="10" t="s">
        <v>859</v>
      </c>
      <c r="AC320" s="10"/>
    </row>
    <row r="321" s="2" customFormat="1" ht="79.9" spans="1:29">
      <c r="A321" s="10" t="s">
        <v>29</v>
      </c>
      <c r="B321" s="23" t="s">
        <v>685</v>
      </c>
      <c r="C321" s="28" t="s">
        <v>809</v>
      </c>
      <c r="D321" s="29" t="s">
        <v>718</v>
      </c>
      <c r="E321" s="23"/>
      <c r="F321" s="23"/>
      <c r="G321" s="35"/>
      <c r="H321" s="23" t="s">
        <v>860</v>
      </c>
      <c r="I321" s="10"/>
      <c r="J321" s="10"/>
      <c r="K321" s="10"/>
      <c r="L321" s="10"/>
      <c r="M321" s="10"/>
      <c r="N321" s="10"/>
      <c r="O321" s="10"/>
      <c r="P321" s="10"/>
      <c r="Q321" s="10"/>
      <c r="R321" s="10"/>
      <c r="S321" s="63" t="s">
        <v>861</v>
      </c>
      <c r="T321" s="4" t="s">
        <v>32</v>
      </c>
      <c r="U321" s="63" t="s">
        <v>861</v>
      </c>
      <c r="V321" s="10" t="s">
        <v>33</v>
      </c>
      <c r="W321" s="23"/>
      <c r="X321" s="63" t="s">
        <v>861</v>
      </c>
      <c r="Y321" s="4" t="s">
        <v>32</v>
      </c>
      <c r="Z321" s="10" t="str">
        <f>_xlfn.DISPIMG("ID_27EC5F1F398D491CB2912E1182B97E56",1)</f>
        <v>=DISPIMG("ID_27EC5F1F398D491CB2912E1182B97E56",1)</v>
      </c>
      <c r="AA321" s="10" t="s">
        <v>34</v>
      </c>
      <c r="AB321" s="10" t="s">
        <v>862</v>
      </c>
      <c r="AC321" s="10"/>
    </row>
    <row r="322" s="2" customFormat="1" ht="109.75" spans="1:29">
      <c r="A322" s="10" t="s">
        <v>29</v>
      </c>
      <c r="B322" s="23" t="s">
        <v>685</v>
      </c>
      <c r="C322" s="28" t="s">
        <v>809</v>
      </c>
      <c r="D322" s="29" t="s">
        <v>718</v>
      </c>
      <c r="E322" s="23"/>
      <c r="F322" s="23"/>
      <c r="G322" s="35"/>
      <c r="H322" s="23" t="s">
        <v>863</v>
      </c>
      <c r="I322" s="10"/>
      <c r="J322" s="10"/>
      <c r="K322" s="10"/>
      <c r="L322" s="10"/>
      <c r="M322" s="10"/>
      <c r="N322" s="10"/>
      <c r="O322" s="10"/>
      <c r="P322" s="10"/>
      <c r="Q322" s="10"/>
      <c r="R322" s="10"/>
      <c r="S322" s="63" t="s">
        <v>864</v>
      </c>
      <c r="T322" s="4" t="s">
        <v>32</v>
      </c>
      <c r="U322" s="63" t="s">
        <v>864</v>
      </c>
      <c r="V322" s="10" t="s">
        <v>33</v>
      </c>
      <c r="W322" s="23"/>
      <c r="X322" s="63" t="s">
        <v>864</v>
      </c>
      <c r="Y322" s="4" t="s">
        <v>32</v>
      </c>
      <c r="Z322" s="10" t="str">
        <f>_xlfn.DISPIMG("ID_FC1BCEFFBC5F42BF97456ECC51E94F7B",1)</f>
        <v>=DISPIMG("ID_FC1BCEFFBC5F42BF97456ECC51E94F7B",1)</v>
      </c>
      <c r="AA322" s="10" t="s">
        <v>34</v>
      </c>
      <c r="AB322" s="10" t="s">
        <v>865</v>
      </c>
      <c r="AC322" s="10"/>
    </row>
    <row r="323" s="2" customFormat="1" ht="150.35" spans="1:29">
      <c r="A323" s="10" t="s">
        <v>29</v>
      </c>
      <c r="B323" s="23" t="s">
        <v>685</v>
      </c>
      <c r="C323" s="28" t="s">
        <v>809</v>
      </c>
      <c r="D323" s="23" t="s">
        <v>737</v>
      </c>
      <c r="E323" s="10"/>
      <c r="F323" s="23"/>
      <c r="G323" s="35"/>
      <c r="H323" s="23" t="s">
        <v>737</v>
      </c>
      <c r="I323" s="10"/>
      <c r="J323" s="10"/>
      <c r="K323" s="10"/>
      <c r="L323" s="10"/>
      <c r="M323" s="10"/>
      <c r="N323" s="10"/>
      <c r="O323" s="10"/>
      <c r="P323" s="10"/>
      <c r="Q323" s="10"/>
      <c r="R323" s="10"/>
      <c r="S323" s="63" t="s">
        <v>866</v>
      </c>
      <c r="T323" s="4" t="s">
        <v>32</v>
      </c>
      <c r="U323" s="63" t="s">
        <v>866</v>
      </c>
      <c r="V323" s="10" t="s">
        <v>33</v>
      </c>
      <c r="W323" s="23"/>
      <c r="X323" s="63" t="s">
        <v>866</v>
      </c>
      <c r="Y323" s="4" t="s">
        <v>32</v>
      </c>
      <c r="Z323" s="10" t="str">
        <f>_xlfn.DISPIMG("ID_E097DA6A2C9040B1859C440A9BA122D1",1)</f>
        <v>=DISPIMG("ID_E097DA6A2C9040B1859C440A9BA122D1",1)</v>
      </c>
      <c r="AA323" s="10" t="s">
        <v>34</v>
      </c>
      <c r="AB323" s="10" t="s">
        <v>867</v>
      </c>
      <c r="AC323" s="10"/>
    </row>
    <row r="324" s="2" customFormat="1" ht="49.5" spans="1:29">
      <c r="A324" s="10" t="s">
        <v>29</v>
      </c>
      <c r="B324" s="10" t="s">
        <v>868</v>
      </c>
      <c r="C324" s="28" t="s">
        <v>869</v>
      </c>
      <c r="D324" s="23"/>
      <c r="E324" s="23"/>
      <c r="F324" s="23"/>
      <c r="G324" s="35"/>
      <c r="H324" s="28" t="s">
        <v>869</v>
      </c>
      <c r="I324" s="10"/>
      <c r="J324" s="10"/>
      <c r="K324" s="10"/>
      <c r="L324" s="10"/>
      <c r="M324" s="10"/>
      <c r="N324" s="10"/>
      <c r="O324" s="10"/>
      <c r="P324" s="10"/>
      <c r="Q324" s="10"/>
      <c r="R324" s="10"/>
      <c r="S324" s="63" t="s">
        <v>870</v>
      </c>
      <c r="T324" s="4" t="s">
        <v>32</v>
      </c>
      <c r="U324" s="63" t="s">
        <v>870</v>
      </c>
      <c r="V324" s="10" t="s">
        <v>33</v>
      </c>
      <c r="W324" s="23"/>
      <c r="X324" s="63" t="s">
        <v>870</v>
      </c>
      <c r="Y324" s="4" t="s">
        <v>32</v>
      </c>
      <c r="Z324" s="10"/>
      <c r="AA324" s="10" t="s">
        <v>34</v>
      </c>
      <c r="AB324" s="10" t="s">
        <v>871</v>
      </c>
      <c r="AC324" s="10"/>
    </row>
    <row r="325" s="2" customFormat="1" ht="66" spans="1:29">
      <c r="A325" s="10" t="s">
        <v>29</v>
      </c>
      <c r="B325" s="10" t="s">
        <v>868</v>
      </c>
      <c r="C325" s="28" t="s">
        <v>869</v>
      </c>
      <c r="D325" s="23"/>
      <c r="E325" s="23"/>
      <c r="F325" s="23"/>
      <c r="G325" s="35"/>
      <c r="H325" s="28"/>
      <c r="I325" s="10"/>
      <c r="J325" s="10"/>
      <c r="K325" s="10"/>
      <c r="L325" s="10"/>
      <c r="M325" s="10"/>
      <c r="N325" s="10"/>
      <c r="O325" s="10"/>
      <c r="P325" s="10"/>
      <c r="Q325" s="10"/>
      <c r="R325" s="10"/>
      <c r="S325" s="63" t="s">
        <v>872</v>
      </c>
      <c r="T325" s="4" t="s">
        <v>68</v>
      </c>
      <c r="U325" s="63" t="s">
        <v>873</v>
      </c>
      <c r="V325" s="10" t="s">
        <v>33</v>
      </c>
      <c r="W325" s="23"/>
      <c r="X325" s="63" t="s">
        <v>872</v>
      </c>
      <c r="Y325" s="4" t="s">
        <v>68</v>
      </c>
      <c r="Z325" s="10"/>
      <c r="AA325" s="10" t="s">
        <v>34</v>
      </c>
      <c r="AB325" s="10" t="s">
        <v>874</v>
      </c>
      <c r="AC325" s="10"/>
    </row>
    <row r="326" s="2" customFormat="1" ht="49.5" spans="1:29">
      <c r="A326" s="10" t="s">
        <v>29</v>
      </c>
      <c r="B326" s="10" t="s">
        <v>868</v>
      </c>
      <c r="C326" s="28" t="s">
        <v>875</v>
      </c>
      <c r="D326" s="23"/>
      <c r="E326" s="23"/>
      <c r="F326" s="23"/>
      <c r="G326" s="35"/>
      <c r="H326" s="28" t="s">
        <v>875</v>
      </c>
      <c r="I326" s="10"/>
      <c r="J326" s="10"/>
      <c r="K326" s="10"/>
      <c r="L326" s="10"/>
      <c r="M326" s="10"/>
      <c r="N326" s="10"/>
      <c r="O326" s="10"/>
      <c r="P326" s="10"/>
      <c r="Q326" s="10"/>
      <c r="R326" s="10"/>
      <c r="S326" s="63" t="s">
        <v>876</v>
      </c>
      <c r="T326" s="4" t="s">
        <v>32</v>
      </c>
      <c r="U326" s="63" t="s">
        <v>876</v>
      </c>
      <c r="V326" s="10" t="s">
        <v>33</v>
      </c>
      <c r="W326" s="23"/>
      <c r="X326" s="63" t="s">
        <v>876</v>
      </c>
      <c r="Y326" s="4" t="s">
        <v>32</v>
      </c>
      <c r="Z326" s="10"/>
      <c r="AA326" s="10" t="s">
        <v>34</v>
      </c>
      <c r="AB326" s="10" t="s">
        <v>877</v>
      </c>
      <c r="AC326" s="10"/>
    </row>
    <row r="327" s="2" customFormat="1" ht="82.5" spans="1:29">
      <c r="A327" s="10" t="s">
        <v>29</v>
      </c>
      <c r="B327" s="10" t="s">
        <v>868</v>
      </c>
      <c r="C327" s="28" t="s">
        <v>875</v>
      </c>
      <c r="D327" s="23"/>
      <c r="E327" s="23"/>
      <c r="F327" s="23"/>
      <c r="G327" s="35"/>
      <c r="H327" s="28"/>
      <c r="I327" s="10"/>
      <c r="J327" s="10"/>
      <c r="K327" s="10"/>
      <c r="L327" s="10"/>
      <c r="M327" s="10"/>
      <c r="N327" s="10"/>
      <c r="O327" s="10"/>
      <c r="P327" s="10"/>
      <c r="Q327" s="10"/>
      <c r="R327" s="10"/>
      <c r="S327" s="63" t="s">
        <v>878</v>
      </c>
      <c r="T327" s="4" t="s">
        <v>68</v>
      </c>
      <c r="U327" s="63" t="s">
        <v>879</v>
      </c>
      <c r="V327" s="10" t="s">
        <v>33</v>
      </c>
      <c r="W327" s="23"/>
      <c r="X327" s="63" t="s">
        <v>878</v>
      </c>
      <c r="Y327" s="4" t="s">
        <v>68</v>
      </c>
      <c r="Z327" s="10"/>
      <c r="AA327" s="10" t="s">
        <v>34</v>
      </c>
      <c r="AB327" s="10" t="s">
        <v>880</v>
      </c>
      <c r="AC327" s="10"/>
    </row>
    <row r="328" s="2" customFormat="1" ht="49.5" spans="1:29">
      <c r="A328" s="10" t="s">
        <v>29</v>
      </c>
      <c r="B328" s="10" t="s">
        <v>868</v>
      </c>
      <c r="C328" s="28" t="s">
        <v>881</v>
      </c>
      <c r="D328" s="23"/>
      <c r="E328" s="23"/>
      <c r="F328" s="23"/>
      <c r="G328" s="35"/>
      <c r="H328" s="28" t="s">
        <v>881</v>
      </c>
      <c r="I328" s="10"/>
      <c r="J328" s="10"/>
      <c r="K328" s="10"/>
      <c r="L328" s="10"/>
      <c r="M328" s="10"/>
      <c r="N328" s="10"/>
      <c r="O328" s="10"/>
      <c r="P328" s="10"/>
      <c r="Q328" s="10"/>
      <c r="R328" s="10"/>
      <c r="S328" s="63" t="s">
        <v>882</v>
      </c>
      <c r="T328" s="4" t="s">
        <v>32</v>
      </c>
      <c r="U328" s="63" t="s">
        <v>882</v>
      </c>
      <c r="V328" s="10" t="s">
        <v>33</v>
      </c>
      <c r="W328" s="23"/>
      <c r="X328" s="63" t="s">
        <v>882</v>
      </c>
      <c r="Y328" s="4" t="s">
        <v>32</v>
      </c>
      <c r="Z328" s="10"/>
      <c r="AA328" s="10" t="s">
        <v>34</v>
      </c>
      <c r="AB328" s="10" t="s">
        <v>883</v>
      </c>
      <c r="AC328" s="10"/>
    </row>
    <row r="329" s="2" customFormat="1" ht="82.5" spans="1:29">
      <c r="A329" s="10" t="s">
        <v>29</v>
      </c>
      <c r="B329" s="10" t="s">
        <v>868</v>
      </c>
      <c r="C329" s="28" t="s">
        <v>881</v>
      </c>
      <c r="D329" s="23"/>
      <c r="E329" s="23"/>
      <c r="F329" s="23"/>
      <c r="G329" s="35"/>
      <c r="H329" s="28"/>
      <c r="I329" s="10"/>
      <c r="J329" s="10"/>
      <c r="K329" s="10"/>
      <c r="L329" s="10"/>
      <c r="M329" s="10"/>
      <c r="N329" s="10"/>
      <c r="O329" s="10"/>
      <c r="P329" s="10"/>
      <c r="Q329" s="10"/>
      <c r="R329" s="10"/>
      <c r="S329" s="63" t="s">
        <v>884</v>
      </c>
      <c r="T329" s="4" t="s">
        <v>68</v>
      </c>
      <c r="U329" s="63" t="s">
        <v>879</v>
      </c>
      <c r="V329" s="10" t="s">
        <v>33</v>
      </c>
      <c r="W329" s="23"/>
      <c r="X329" s="63" t="s">
        <v>884</v>
      </c>
      <c r="Y329" s="4" t="s">
        <v>68</v>
      </c>
      <c r="Z329" s="10"/>
      <c r="AA329" s="10" t="s">
        <v>34</v>
      </c>
      <c r="AB329" s="10" t="s">
        <v>885</v>
      </c>
      <c r="AC329" s="10"/>
    </row>
    <row r="330" s="2" customFormat="1" ht="49.5" spans="1:29">
      <c r="A330" s="10" t="s">
        <v>29</v>
      </c>
      <c r="B330" s="10" t="s">
        <v>868</v>
      </c>
      <c r="C330" s="28" t="s">
        <v>886</v>
      </c>
      <c r="D330" s="23"/>
      <c r="E330" s="23"/>
      <c r="F330" s="23"/>
      <c r="G330" s="35"/>
      <c r="H330" s="28" t="s">
        <v>886</v>
      </c>
      <c r="I330" s="10"/>
      <c r="J330" s="10"/>
      <c r="K330" s="10"/>
      <c r="L330" s="10"/>
      <c r="M330" s="10"/>
      <c r="N330" s="10"/>
      <c r="O330" s="10"/>
      <c r="P330" s="10"/>
      <c r="Q330" s="10"/>
      <c r="R330" s="10"/>
      <c r="S330" s="63" t="s">
        <v>887</v>
      </c>
      <c r="T330" s="4" t="s">
        <v>32</v>
      </c>
      <c r="U330" s="63" t="s">
        <v>887</v>
      </c>
      <c r="V330" s="10" t="s">
        <v>33</v>
      </c>
      <c r="W330" s="23"/>
      <c r="X330" s="63" t="s">
        <v>887</v>
      </c>
      <c r="Y330" s="4" t="s">
        <v>32</v>
      </c>
      <c r="Z330" s="10"/>
      <c r="AA330" s="10" t="s">
        <v>34</v>
      </c>
      <c r="AB330" s="10" t="s">
        <v>888</v>
      </c>
      <c r="AC330" s="10"/>
    </row>
    <row r="331" s="2" customFormat="1" ht="82.5" spans="1:29">
      <c r="A331" s="10" t="s">
        <v>29</v>
      </c>
      <c r="B331" s="10" t="s">
        <v>868</v>
      </c>
      <c r="C331" s="28" t="s">
        <v>886</v>
      </c>
      <c r="D331" s="23"/>
      <c r="E331" s="23"/>
      <c r="F331" s="23"/>
      <c r="G331" s="35"/>
      <c r="H331" s="28"/>
      <c r="I331" s="10"/>
      <c r="J331" s="10"/>
      <c r="K331" s="10"/>
      <c r="L331" s="10"/>
      <c r="M331" s="10"/>
      <c r="N331" s="10"/>
      <c r="O331" s="10"/>
      <c r="P331" s="10"/>
      <c r="Q331" s="10"/>
      <c r="R331" s="10"/>
      <c r="S331" s="63" t="s">
        <v>889</v>
      </c>
      <c r="T331" s="4" t="s">
        <v>68</v>
      </c>
      <c r="U331" s="63" t="s">
        <v>879</v>
      </c>
      <c r="V331" s="10" t="s">
        <v>33</v>
      </c>
      <c r="W331" s="23"/>
      <c r="X331" s="63" t="s">
        <v>889</v>
      </c>
      <c r="Y331" s="4" t="s">
        <v>68</v>
      </c>
      <c r="Z331" s="10"/>
      <c r="AA331" s="10" t="s">
        <v>34</v>
      </c>
      <c r="AB331" s="10" t="s">
        <v>890</v>
      </c>
      <c r="AC331" s="10"/>
    </row>
    <row r="332" s="2" customFormat="1" ht="49.5" spans="1:29">
      <c r="A332" s="10" t="s">
        <v>29</v>
      </c>
      <c r="B332" s="23" t="s">
        <v>891</v>
      </c>
      <c r="C332" s="29" t="s">
        <v>892</v>
      </c>
      <c r="D332" s="23"/>
      <c r="E332" s="23"/>
      <c r="F332" s="23"/>
      <c r="G332" s="35"/>
      <c r="H332" s="29" t="s">
        <v>892</v>
      </c>
      <c r="I332" s="10"/>
      <c r="J332" s="10"/>
      <c r="K332" s="10"/>
      <c r="L332" s="10"/>
      <c r="M332" s="10"/>
      <c r="N332" s="10"/>
      <c r="O332" s="10"/>
      <c r="P332" s="10"/>
      <c r="Q332" s="10"/>
      <c r="R332" s="10"/>
      <c r="S332" s="62" t="s">
        <v>893</v>
      </c>
      <c r="T332" s="4" t="s">
        <v>32</v>
      </c>
      <c r="U332" s="62" t="s">
        <v>893</v>
      </c>
      <c r="V332" s="10" t="s">
        <v>33</v>
      </c>
      <c r="W332" s="23"/>
      <c r="X332" s="62" t="s">
        <v>893</v>
      </c>
      <c r="Y332" s="4" t="s">
        <v>32</v>
      </c>
      <c r="Z332" s="10"/>
      <c r="AA332" s="10" t="s">
        <v>34</v>
      </c>
      <c r="AB332" s="10" t="s">
        <v>894</v>
      </c>
      <c r="AC332" s="10"/>
    </row>
    <row r="333" s="2" customFormat="1" ht="109.95" spans="1:29">
      <c r="A333" s="10" t="s">
        <v>29</v>
      </c>
      <c r="B333" s="23" t="s">
        <v>891</v>
      </c>
      <c r="C333" s="29" t="s">
        <v>892</v>
      </c>
      <c r="D333" s="23"/>
      <c r="E333" s="23"/>
      <c r="F333" s="23"/>
      <c r="G333" s="35"/>
      <c r="H333" s="29"/>
      <c r="I333" s="10"/>
      <c r="J333" s="10"/>
      <c r="K333" s="10"/>
      <c r="L333" s="10"/>
      <c r="M333" s="10"/>
      <c r="N333" s="10"/>
      <c r="O333" s="10"/>
      <c r="P333" s="10"/>
      <c r="Q333" s="10"/>
      <c r="R333" s="10"/>
      <c r="S333" s="63" t="s">
        <v>895</v>
      </c>
      <c r="T333" s="4" t="s">
        <v>32</v>
      </c>
      <c r="U333" s="63" t="s">
        <v>895</v>
      </c>
      <c r="V333" s="10" t="s">
        <v>33</v>
      </c>
      <c r="W333" s="23"/>
      <c r="X333" s="63" t="s">
        <v>895</v>
      </c>
      <c r="Y333" s="4" t="s">
        <v>32</v>
      </c>
      <c r="Z333" s="10" t="str">
        <f>_xlfn.DISPIMG("ID_F9FDA1F7093F4F988B2B09F13C11F621",1)</f>
        <v>=DISPIMG("ID_F9FDA1F7093F4F988B2B09F13C11F621",1)</v>
      </c>
      <c r="AA333" s="10" t="s">
        <v>34</v>
      </c>
      <c r="AB333" s="10" t="s">
        <v>896</v>
      </c>
      <c r="AC333" s="10"/>
    </row>
    <row r="334" s="2" customFormat="1" ht="108.55" spans="1:29">
      <c r="A334" s="10" t="s">
        <v>29</v>
      </c>
      <c r="B334" s="23" t="s">
        <v>891</v>
      </c>
      <c r="C334" s="29" t="s">
        <v>892</v>
      </c>
      <c r="D334" s="23"/>
      <c r="E334" s="23"/>
      <c r="F334" s="23"/>
      <c r="G334" s="35"/>
      <c r="H334" s="29"/>
      <c r="I334" s="10"/>
      <c r="J334" s="10"/>
      <c r="K334" s="10"/>
      <c r="L334" s="10"/>
      <c r="M334" s="10"/>
      <c r="N334" s="10"/>
      <c r="O334" s="10"/>
      <c r="P334" s="10"/>
      <c r="Q334" s="10"/>
      <c r="R334" s="10"/>
      <c r="S334" s="63" t="s">
        <v>897</v>
      </c>
      <c r="T334" s="4" t="s">
        <v>32</v>
      </c>
      <c r="U334" s="63" t="s">
        <v>897</v>
      </c>
      <c r="V334" s="10" t="s">
        <v>33</v>
      </c>
      <c r="W334" s="23"/>
      <c r="X334" s="63" t="s">
        <v>897</v>
      </c>
      <c r="Y334" s="4" t="s">
        <v>32</v>
      </c>
      <c r="Z334" s="10" t="str">
        <f>_xlfn.DISPIMG("ID_A36B6F9501BF41BBAD44343285681B86",1)</f>
        <v>=DISPIMG("ID_A36B6F9501BF41BBAD44343285681B86",1)</v>
      </c>
      <c r="AA334" s="10" t="s">
        <v>34</v>
      </c>
      <c r="AB334" s="10" t="s">
        <v>898</v>
      </c>
      <c r="AC334" s="10"/>
    </row>
    <row r="335" s="2" customFormat="1" ht="109.35" spans="1:29">
      <c r="A335" s="10" t="s">
        <v>29</v>
      </c>
      <c r="B335" s="23" t="s">
        <v>891</v>
      </c>
      <c r="C335" s="29" t="s">
        <v>892</v>
      </c>
      <c r="D335" s="23"/>
      <c r="E335" s="23"/>
      <c r="F335" s="23"/>
      <c r="G335" s="35"/>
      <c r="H335" s="29"/>
      <c r="I335" s="10"/>
      <c r="J335" s="10"/>
      <c r="K335" s="10"/>
      <c r="L335" s="10"/>
      <c r="M335" s="10"/>
      <c r="N335" s="10"/>
      <c r="O335" s="10"/>
      <c r="P335" s="10"/>
      <c r="Q335" s="10"/>
      <c r="R335" s="10"/>
      <c r="S335" s="63" t="s">
        <v>899</v>
      </c>
      <c r="T335" s="4" t="s">
        <v>32</v>
      </c>
      <c r="U335" s="63" t="s">
        <v>899</v>
      </c>
      <c r="V335" s="10" t="s">
        <v>33</v>
      </c>
      <c r="W335" s="23"/>
      <c r="X335" s="63" t="s">
        <v>899</v>
      </c>
      <c r="Y335" s="4" t="s">
        <v>32</v>
      </c>
      <c r="Z335" s="10" t="str">
        <f>_xlfn.DISPIMG("ID_892E3B846D324306B389C6FCADAF109E",1)</f>
        <v>=DISPIMG("ID_892E3B846D324306B389C6FCADAF109E",1)</v>
      </c>
      <c r="AA335" s="10" t="s">
        <v>34</v>
      </c>
      <c r="AB335" s="10" t="s">
        <v>900</v>
      </c>
      <c r="AC335" s="10"/>
    </row>
    <row r="336" s="2" customFormat="1" ht="66" spans="1:29">
      <c r="A336" s="10" t="s">
        <v>29</v>
      </c>
      <c r="B336" s="23" t="s">
        <v>891</v>
      </c>
      <c r="C336" s="29" t="s">
        <v>892</v>
      </c>
      <c r="D336" s="23"/>
      <c r="E336" s="23"/>
      <c r="F336" s="23"/>
      <c r="G336" s="35"/>
      <c r="H336" s="29"/>
      <c r="I336" s="10"/>
      <c r="J336" s="10"/>
      <c r="K336" s="10"/>
      <c r="L336" s="10"/>
      <c r="M336" s="10"/>
      <c r="N336" s="10"/>
      <c r="O336" s="10"/>
      <c r="P336" s="10"/>
      <c r="Q336" s="10"/>
      <c r="R336" s="10"/>
      <c r="S336" s="63" t="s">
        <v>901</v>
      </c>
      <c r="T336" s="4" t="s">
        <v>32</v>
      </c>
      <c r="U336" s="63" t="s">
        <v>901</v>
      </c>
      <c r="V336" s="10" t="s">
        <v>33</v>
      </c>
      <c r="W336" s="23"/>
      <c r="X336" s="63" t="s">
        <v>901</v>
      </c>
      <c r="Y336" s="4" t="s">
        <v>32</v>
      </c>
      <c r="Z336" s="10"/>
      <c r="AA336" s="10" t="s">
        <v>34</v>
      </c>
      <c r="AB336" s="10" t="s">
        <v>902</v>
      </c>
      <c r="AC336" s="10"/>
    </row>
    <row r="337" s="2" customFormat="1" ht="110.45" spans="1:29">
      <c r="A337" s="10" t="s">
        <v>29</v>
      </c>
      <c r="B337" s="23" t="s">
        <v>891</v>
      </c>
      <c r="C337" s="29" t="s">
        <v>892</v>
      </c>
      <c r="D337" s="23"/>
      <c r="E337" s="23"/>
      <c r="F337" s="23"/>
      <c r="G337" s="35"/>
      <c r="H337" s="29"/>
      <c r="I337" s="10"/>
      <c r="J337" s="10"/>
      <c r="K337" s="10"/>
      <c r="L337" s="10"/>
      <c r="M337" s="10"/>
      <c r="N337" s="10"/>
      <c r="O337" s="10"/>
      <c r="P337" s="10"/>
      <c r="Q337" s="10"/>
      <c r="R337" s="10"/>
      <c r="S337" s="63" t="s">
        <v>903</v>
      </c>
      <c r="T337" s="4" t="s">
        <v>32</v>
      </c>
      <c r="U337" s="63" t="s">
        <v>903</v>
      </c>
      <c r="V337" s="10" t="s">
        <v>33</v>
      </c>
      <c r="W337" s="23"/>
      <c r="X337" s="63" t="s">
        <v>903</v>
      </c>
      <c r="Y337" s="4" t="s">
        <v>32</v>
      </c>
      <c r="Z337" s="10" t="str">
        <f>_xlfn.DISPIMG("ID_F431B7D2182B43A29A0E2E2E229E5F21",1)</f>
        <v>=DISPIMG("ID_F431B7D2182B43A29A0E2E2E229E5F21",1)</v>
      </c>
      <c r="AA337" s="10" t="s">
        <v>34</v>
      </c>
      <c r="AB337" s="10" t="s">
        <v>904</v>
      </c>
      <c r="AC337" s="10"/>
    </row>
    <row r="338" s="2" customFormat="1" ht="108.05" spans="1:29">
      <c r="A338" s="10" t="s">
        <v>29</v>
      </c>
      <c r="B338" s="23" t="s">
        <v>891</v>
      </c>
      <c r="C338" s="29" t="s">
        <v>892</v>
      </c>
      <c r="D338" s="23"/>
      <c r="E338" s="23"/>
      <c r="F338" s="23"/>
      <c r="G338" s="35"/>
      <c r="H338" s="29"/>
      <c r="I338" s="10"/>
      <c r="J338" s="10"/>
      <c r="K338" s="10"/>
      <c r="L338" s="10"/>
      <c r="M338" s="10"/>
      <c r="N338" s="10"/>
      <c r="O338" s="10"/>
      <c r="P338" s="10"/>
      <c r="Q338" s="10"/>
      <c r="R338" s="10"/>
      <c r="S338" s="63" t="s">
        <v>905</v>
      </c>
      <c r="T338" s="4" t="s">
        <v>32</v>
      </c>
      <c r="U338" s="63" t="s">
        <v>905</v>
      </c>
      <c r="V338" s="10" t="s">
        <v>33</v>
      </c>
      <c r="W338" s="23"/>
      <c r="X338" s="63" t="s">
        <v>905</v>
      </c>
      <c r="Y338" s="4" t="s">
        <v>32</v>
      </c>
      <c r="Z338" s="10" t="str">
        <f>_xlfn.DISPIMG("ID_A9AE36BDB8CA4D16BB4C47AD135C0169",1)</f>
        <v>=DISPIMG("ID_A9AE36BDB8CA4D16BB4C47AD135C0169",1)</v>
      </c>
      <c r="AA338" s="10" t="s">
        <v>34</v>
      </c>
      <c r="AB338" s="10" t="s">
        <v>906</v>
      </c>
      <c r="AC338" s="10"/>
    </row>
    <row r="339" s="2" customFormat="1" ht="108.3" spans="1:29">
      <c r="A339" s="10" t="s">
        <v>29</v>
      </c>
      <c r="B339" s="23" t="s">
        <v>891</v>
      </c>
      <c r="C339" s="29" t="s">
        <v>892</v>
      </c>
      <c r="D339" s="23"/>
      <c r="E339" s="23"/>
      <c r="F339" s="23"/>
      <c r="G339" s="35"/>
      <c r="H339" s="29"/>
      <c r="I339" s="10"/>
      <c r="J339" s="10"/>
      <c r="K339" s="10"/>
      <c r="L339" s="10"/>
      <c r="M339" s="10"/>
      <c r="N339" s="10"/>
      <c r="O339" s="10"/>
      <c r="P339" s="10"/>
      <c r="Q339" s="10"/>
      <c r="R339" s="10"/>
      <c r="S339" s="63" t="s">
        <v>907</v>
      </c>
      <c r="T339" s="4" t="s">
        <v>32</v>
      </c>
      <c r="U339" s="63" t="s">
        <v>907</v>
      </c>
      <c r="V339" s="10" t="s">
        <v>33</v>
      </c>
      <c r="W339" s="23"/>
      <c r="X339" s="63" t="s">
        <v>907</v>
      </c>
      <c r="Y339" s="4" t="s">
        <v>32</v>
      </c>
      <c r="Z339" s="10" t="str">
        <f>_xlfn.DISPIMG("ID_ECB6057CE1834EB0A07B24C9AEFEFBEB",1)</f>
        <v>=DISPIMG("ID_ECB6057CE1834EB0A07B24C9AEFEFBEB",1)</v>
      </c>
      <c r="AA339" s="10" t="s">
        <v>34</v>
      </c>
      <c r="AB339" s="10" t="s">
        <v>908</v>
      </c>
      <c r="AC339" s="10"/>
    </row>
    <row r="340" s="2" customFormat="1" ht="123.95" spans="1:29">
      <c r="A340" s="10" t="s">
        <v>29</v>
      </c>
      <c r="B340" s="23" t="s">
        <v>891</v>
      </c>
      <c r="C340" s="29" t="s">
        <v>892</v>
      </c>
      <c r="D340" s="23"/>
      <c r="E340" s="23"/>
      <c r="F340" s="23"/>
      <c r="G340" s="35"/>
      <c r="H340" s="29"/>
      <c r="I340" s="10"/>
      <c r="J340" s="10"/>
      <c r="K340" s="10"/>
      <c r="L340" s="10"/>
      <c r="M340" s="10"/>
      <c r="N340" s="10"/>
      <c r="O340" s="10"/>
      <c r="P340" s="10"/>
      <c r="Q340" s="10"/>
      <c r="R340" s="10"/>
      <c r="S340" s="63" t="s">
        <v>909</v>
      </c>
      <c r="T340" s="4" t="s">
        <v>32</v>
      </c>
      <c r="U340" s="63" t="s">
        <v>909</v>
      </c>
      <c r="V340" s="10" t="s">
        <v>33</v>
      </c>
      <c r="W340" s="23"/>
      <c r="X340" s="63" t="s">
        <v>909</v>
      </c>
      <c r="Y340" s="4" t="s">
        <v>32</v>
      </c>
      <c r="Z340" s="10" t="str">
        <f>_xlfn.DISPIMG("ID_4A31CBDD606D4AEEA496989C4FEC6E8F",1)</f>
        <v>=DISPIMG("ID_4A31CBDD606D4AEEA496989C4FEC6E8F",1)</v>
      </c>
      <c r="AA340" s="10" t="s">
        <v>34</v>
      </c>
      <c r="AB340" s="10" t="s">
        <v>910</v>
      </c>
      <c r="AC340" s="10"/>
    </row>
    <row r="341" s="2" customFormat="1" ht="49.5" spans="1:29">
      <c r="A341" s="10" t="s">
        <v>29</v>
      </c>
      <c r="B341" s="23" t="s">
        <v>891</v>
      </c>
      <c r="C341" s="23" t="s">
        <v>911</v>
      </c>
      <c r="D341" s="23"/>
      <c r="E341" s="23"/>
      <c r="F341" s="23"/>
      <c r="G341" s="35"/>
      <c r="H341" s="23" t="s">
        <v>911</v>
      </c>
      <c r="I341" s="10"/>
      <c r="J341" s="10"/>
      <c r="K341" s="10"/>
      <c r="L341" s="10"/>
      <c r="M341" s="10"/>
      <c r="N341" s="10"/>
      <c r="O341" s="10"/>
      <c r="P341" s="10"/>
      <c r="Q341" s="10"/>
      <c r="R341" s="10"/>
      <c r="S341" s="62" t="s">
        <v>911</v>
      </c>
      <c r="T341" s="4" t="s">
        <v>32</v>
      </c>
      <c r="U341" s="62" t="s">
        <v>911</v>
      </c>
      <c r="V341" s="10" t="s">
        <v>33</v>
      </c>
      <c r="W341" s="23"/>
      <c r="X341" s="62" t="s">
        <v>911</v>
      </c>
      <c r="Y341" s="4" t="s">
        <v>32</v>
      </c>
      <c r="Z341" s="10"/>
      <c r="AA341" s="10" t="s">
        <v>34</v>
      </c>
      <c r="AB341" s="10" t="s">
        <v>912</v>
      </c>
      <c r="AC341" s="10"/>
    </row>
    <row r="342" spans="19:19">
      <c r="S342" s="4"/>
    </row>
  </sheetData>
  <autoFilter xmlns:etc="http://www.wps.cn/officeDocument/2017/etCustomData" ref="A1:AC341" etc:filterBottomFollowUsedRange="0">
    <extLst/>
  </autoFilter>
  <mergeCells count="53">
    <mergeCell ref="H6:H9"/>
    <mergeCell ref="H10:H15"/>
    <mergeCell ref="H16:H18"/>
    <mergeCell ref="H27:H35"/>
    <mergeCell ref="H36:H38"/>
    <mergeCell ref="H39:H42"/>
    <mergeCell ref="H44:H46"/>
    <mergeCell ref="H47:H52"/>
    <mergeCell ref="H53:H54"/>
    <mergeCell ref="H57:H58"/>
    <mergeCell ref="H64:H65"/>
    <mergeCell ref="H76:H77"/>
    <mergeCell ref="H78:H81"/>
    <mergeCell ref="H82:H83"/>
    <mergeCell ref="H85:H86"/>
    <mergeCell ref="H87:H95"/>
    <mergeCell ref="H96:H97"/>
    <mergeCell ref="H105:H106"/>
    <mergeCell ref="H109:H110"/>
    <mergeCell ref="H111:H113"/>
    <mergeCell ref="H114:H117"/>
    <mergeCell ref="H120:H127"/>
    <mergeCell ref="H128:H129"/>
    <mergeCell ref="H130:H131"/>
    <mergeCell ref="H132:H133"/>
    <mergeCell ref="H134:H136"/>
    <mergeCell ref="H137:H144"/>
    <mergeCell ref="H145:H146"/>
    <mergeCell ref="H147:H178"/>
    <mergeCell ref="H179:H188"/>
    <mergeCell ref="H189:H190"/>
    <mergeCell ref="H191:H194"/>
    <mergeCell ref="H196:H204"/>
    <mergeCell ref="H205:H213"/>
    <mergeCell ref="H214:H216"/>
    <mergeCell ref="H217:H218"/>
    <mergeCell ref="H219:H250"/>
    <mergeCell ref="H251:H253"/>
    <mergeCell ref="H254:H256"/>
    <mergeCell ref="H259:H260"/>
    <mergeCell ref="H272:H273"/>
    <mergeCell ref="H275:H280"/>
    <mergeCell ref="H281:H284"/>
    <mergeCell ref="H287:H289"/>
    <mergeCell ref="H290:H296"/>
    <mergeCell ref="H297:H298"/>
    <mergeCell ref="H300:H310"/>
    <mergeCell ref="H311:H312"/>
    <mergeCell ref="H324:H325"/>
    <mergeCell ref="H326:H327"/>
    <mergeCell ref="H328:H329"/>
    <mergeCell ref="H330:H331"/>
    <mergeCell ref="H332:H340"/>
  </mergeCells>
  <dataValidations count="2">
    <dataValidation type="list" allowBlank="1" showInputMessage="1" showErrorMessage="1" sqref="V29 V31 V33 V35 V38 V40 V42 V54 V58 V65 V77 V82 V86 V90 V92 V94 V97 V45:V46 V48:V51 V79:V80">
      <formula1>"未选,气藏地质,气藏工程,钻井工程,采气工程,地面工程,安全环保,实例库,标准库"</formula1>
    </dataValidation>
    <dataValidation type="list" allowBlank="1" showInputMessage="1" showErrorMessage="1" sqref="T2:T341 Y2:Y341">
      <formula1>"结构化数据,体数据,图件,文档"</formula1>
    </dataValidation>
  </dataValidations>
  <pageMargins left="0.75" right="0.75" top="1" bottom="1" header="0.5" footer="0.5"/>
  <headerFooter/>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AD343"/>
  <sheetViews>
    <sheetView zoomScale="80" zoomScaleNormal="80" workbookViewId="0">
      <pane ySplit="1" topLeftCell="A192" activePane="bottomLeft" state="frozen"/>
      <selection/>
      <selection pane="bottomLeft" activeCell="A1" sqref="$A1:$XFD3"/>
    </sheetView>
  </sheetViews>
  <sheetFormatPr defaultColWidth="9.06666666666667" defaultRowHeight="16.5"/>
  <cols>
    <col min="1" max="1" width="11" style="3" customWidth="1"/>
    <col min="2" max="2" width="14.3" style="3" customWidth="1"/>
    <col min="3" max="3" width="11.75" style="3" customWidth="1"/>
    <col min="4" max="4" width="15.5" style="3" customWidth="1"/>
    <col min="5" max="5" width="11" style="3" hidden="1" customWidth="1"/>
    <col min="6" max="6" width="11.25" style="3" hidden="1" customWidth="1"/>
    <col min="7" max="7" width="11.25" style="4" hidden="1" customWidth="1"/>
    <col min="8" max="8" width="12.875" style="3" customWidth="1"/>
    <col min="9" max="9" width="16.5" style="3" hidden="1" customWidth="1"/>
    <col min="10" max="10" width="21.875" style="3" hidden="1" customWidth="1"/>
    <col min="11" max="11" width="13.875" style="3" hidden="1" customWidth="1"/>
    <col min="12" max="18" width="11.25" style="3" hidden="1" customWidth="1"/>
    <col min="19" max="19" width="13.75" style="3" customWidth="1"/>
    <col min="20" max="20" width="13.375" style="4" customWidth="1"/>
    <col min="21" max="21" width="13.125" style="4" customWidth="1"/>
    <col min="22" max="22" width="12.625" style="4" customWidth="1"/>
    <col min="23" max="23" width="3.375" style="5" customWidth="1"/>
    <col min="24" max="24" width="14.5" style="4" customWidth="1"/>
    <col min="25" max="25" width="13.875" style="4" customWidth="1"/>
    <col min="26" max="26" width="17.75" style="4" customWidth="1"/>
    <col min="27" max="27" width="11.25" style="4" customWidth="1"/>
    <col min="28" max="28" width="26.625" style="4" customWidth="1"/>
    <col min="29" max="29" width="34.125" style="4" customWidth="1"/>
    <col min="30" max="30" width="29.625" customWidth="1"/>
  </cols>
  <sheetData>
    <row r="1" s="1" customFormat="1" ht="21" spans="1:29">
      <c r="A1" s="6" t="s">
        <v>0</v>
      </c>
      <c r="B1" s="7" t="s">
        <v>1</v>
      </c>
      <c r="C1" s="7" t="s">
        <v>2</v>
      </c>
      <c r="D1" s="7" t="s">
        <v>3</v>
      </c>
      <c r="E1" s="6" t="s">
        <v>4</v>
      </c>
      <c r="F1" s="8" t="s">
        <v>5</v>
      </c>
      <c r="G1" s="6" t="s">
        <v>6</v>
      </c>
      <c r="H1" s="9" t="s">
        <v>7</v>
      </c>
      <c r="I1" s="6" t="s">
        <v>8</v>
      </c>
      <c r="J1" s="6" t="s">
        <v>9</v>
      </c>
      <c r="K1" s="6" t="s">
        <v>10</v>
      </c>
      <c r="L1" s="6" t="s">
        <v>11</v>
      </c>
      <c r="M1" s="6" t="s">
        <v>12</v>
      </c>
      <c r="N1" s="6" t="s">
        <v>13</v>
      </c>
      <c r="O1" s="6" t="s">
        <v>14</v>
      </c>
      <c r="P1" s="6" t="s">
        <v>15</v>
      </c>
      <c r="Q1" s="6" t="s">
        <v>16</v>
      </c>
      <c r="R1" s="6" t="s">
        <v>17</v>
      </c>
      <c r="S1" s="20" t="s">
        <v>18</v>
      </c>
      <c r="T1" s="21" t="s">
        <v>19</v>
      </c>
      <c r="U1" s="21" t="s">
        <v>20</v>
      </c>
      <c r="V1" s="22" t="s">
        <v>21</v>
      </c>
      <c r="W1" s="22" t="s">
        <v>22</v>
      </c>
      <c r="X1" s="7" t="s">
        <v>23</v>
      </c>
      <c r="Y1" s="7" t="s">
        <v>24</v>
      </c>
      <c r="Z1" s="7" t="s">
        <v>25</v>
      </c>
      <c r="AA1" s="27" t="s">
        <v>26</v>
      </c>
      <c r="AB1" s="27" t="s">
        <v>27</v>
      </c>
      <c r="AC1" s="27" t="s">
        <v>28</v>
      </c>
    </row>
    <row r="2" s="2" customFormat="1" ht="66" hidden="1" spans="1:30">
      <c r="A2" s="10" t="s">
        <v>913</v>
      </c>
      <c r="B2" s="11" t="s">
        <v>30</v>
      </c>
      <c r="C2" s="10" t="s">
        <v>31</v>
      </c>
      <c r="D2" s="10" t="s">
        <v>31</v>
      </c>
      <c r="E2" s="10"/>
      <c r="F2" s="12"/>
      <c r="G2" s="13"/>
      <c r="H2" s="10" t="s">
        <v>31</v>
      </c>
      <c r="I2" s="49"/>
      <c r="J2" s="49"/>
      <c r="K2" s="49"/>
      <c r="L2" s="49"/>
      <c r="M2" s="49"/>
      <c r="N2" s="49"/>
      <c r="O2" s="49"/>
      <c r="P2" s="49"/>
      <c r="Q2" s="49"/>
      <c r="R2" s="10"/>
      <c r="S2" s="10" t="s">
        <v>31</v>
      </c>
      <c r="T2" s="10" t="s">
        <v>32</v>
      </c>
      <c r="U2" s="10" t="s">
        <v>31</v>
      </c>
      <c r="V2" s="50" t="s">
        <v>33</v>
      </c>
      <c r="W2" s="10"/>
      <c r="X2" s="10" t="s">
        <v>31</v>
      </c>
      <c r="Y2" s="10" t="s">
        <v>32</v>
      </c>
      <c r="Z2" s="10" t="str">
        <f>_xlfn.DISPIMG("ID_5304E780696B4657BED597AEA59EBC89",1)</f>
        <v>=DISPIMG("ID_5304E780696B4657BED597AEA59EBC89",1)</v>
      </c>
      <c r="AA2" s="10" t="s">
        <v>34</v>
      </c>
      <c r="AB2" s="10" t="s">
        <v>35</v>
      </c>
      <c r="AC2" s="10"/>
      <c r="AD2" s="54"/>
    </row>
    <row r="3" s="2" customFormat="1" ht="66" hidden="1" spans="1:30">
      <c r="A3" s="10" t="s">
        <v>913</v>
      </c>
      <c r="B3" s="11" t="s">
        <v>30</v>
      </c>
      <c r="C3" s="10" t="s">
        <v>37</v>
      </c>
      <c r="D3" s="10" t="s">
        <v>37</v>
      </c>
      <c r="E3" s="10"/>
      <c r="F3" s="12"/>
      <c r="G3" s="13"/>
      <c r="H3" s="10" t="s">
        <v>37</v>
      </c>
      <c r="I3" s="10"/>
      <c r="J3" s="10"/>
      <c r="K3" s="10"/>
      <c r="L3" s="10"/>
      <c r="M3" s="10"/>
      <c r="N3" s="10"/>
      <c r="O3" s="10"/>
      <c r="P3" s="10"/>
      <c r="Q3" s="10"/>
      <c r="R3" s="51"/>
      <c r="S3" s="10" t="s">
        <v>37</v>
      </c>
      <c r="T3" s="10" t="s">
        <v>32</v>
      </c>
      <c r="U3" s="10" t="s">
        <v>37</v>
      </c>
      <c r="V3" s="50" t="s">
        <v>33</v>
      </c>
      <c r="W3" s="10"/>
      <c r="X3" s="10" t="s">
        <v>37</v>
      </c>
      <c r="Y3" s="10" t="s">
        <v>32</v>
      </c>
      <c r="Z3" s="10" t="str">
        <f>_xlfn.DISPIMG("ID_FBA6E32501224503914B682A12E0B59D",1)</f>
        <v>=DISPIMG("ID_FBA6E32501224503914B682A12E0B59D",1)</v>
      </c>
      <c r="AA3" s="10" t="s">
        <v>34</v>
      </c>
      <c r="AB3" s="10" t="s">
        <v>38</v>
      </c>
      <c r="AC3" s="10"/>
      <c r="AD3" s="54"/>
    </row>
    <row r="4" s="2" customFormat="1" ht="100.65" hidden="1" spans="1:30">
      <c r="A4" s="10" t="s">
        <v>913</v>
      </c>
      <c r="B4" s="11" t="s">
        <v>30</v>
      </c>
      <c r="C4" s="10" t="s">
        <v>39</v>
      </c>
      <c r="D4" s="10" t="s">
        <v>40</v>
      </c>
      <c r="E4" s="10"/>
      <c r="F4" s="12"/>
      <c r="G4" s="13"/>
      <c r="H4" s="10" t="s">
        <v>40</v>
      </c>
      <c r="I4" s="10"/>
      <c r="J4" s="10"/>
      <c r="K4" s="10"/>
      <c r="L4" s="10"/>
      <c r="M4" s="10"/>
      <c r="N4" s="10"/>
      <c r="O4" s="10"/>
      <c r="P4" s="10"/>
      <c r="Q4" s="10"/>
      <c r="R4" s="10"/>
      <c r="S4" s="10" t="s">
        <v>40</v>
      </c>
      <c r="T4" s="10" t="s">
        <v>32</v>
      </c>
      <c r="U4" s="10" t="s">
        <v>40</v>
      </c>
      <c r="V4" s="50" t="s">
        <v>33</v>
      </c>
      <c r="W4" s="10"/>
      <c r="X4" s="10" t="s">
        <v>40</v>
      </c>
      <c r="Y4" s="10" t="s">
        <v>32</v>
      </c>
      <c r="Z4" s="10" t="str">
        <f>_xlfn.DISPIMG("ID_FD525047B451468A958F63FD006A41B9",1)</f>
        <v>=DISPIMG("ID_FD525047B451468A958F63FD006A41B9",1)</v>
      </c>
      <c r="AA4" s="10" t="s">
        <v>34</v>
      </c>
      <c r="AB4" s="10" t="s">
        <v>41</v>
      </c>
      <c r="AC4" s="10"/>
      <c r="AD4" s="54"/>
    </row>
    <row r="5" s="2" customFormat="1" ht="104.2" hidden="1" spans="1:29">
      <c r="A5" s="10" t="s">
        <v>913</v>
      </c>
      <c r="B5" s="11" t="s">
        <v>30</v>
      </c>
      <c r="C5" s="10" t="s">
        <v>39</v>
      </c>
      <c r="D5" s="10" t="s">
        <v>42</v>
      </c>
      <c r="E5" s="10"/>
      <c r="F5" s="12"/>
      <c r="G5" s="13"/>
      <c r="H5" s="14" t="s">
        <v>42</v>
      </c>
      <c r="I5" s="10"/>
      <c r="J5" s="10"/>
      <c r="K5" s="10"/>
      <c r="L5" s="10"/>
      <c r="M5" s="10"/>
      <c r="N5" s="10"/>
      <c r="O5" s="10"/>
      <c r="P5" s="10"/>
      <c r="Q5" s="10"/>
      <c r="R5" s="10"/>
      <c r="S5" s="10" t="s">
        <v>914</v>
      </c>
      <c r="T5" s="10" t="s">
        <v>32</v>
      </c>
      <c r="U5" s="10" t="s">
        <v>914</v>
      </c>
      <c r="V5" s="50" t="s">
        <v>33</v>
      </c>
      <c r="W5" s="23"/>
      <c r="X5" s="10" t="s">
        <v>914</v>
      </c>
      <c r="Y5" s="10" t="s">
        <v>32</v>
      </c>
      <c r="Z5" s="10" t="str">
        <f>_xlfn.DISPIMG("ID_CECD94F72B0D4F64AADAB834C484FD51",1)</f>
        <v>=DISPIMG("ID_CECD94F72B0D4F64AADAB834C484FD51",1)</v>
      </c>
      <c r="AA5" s="10" t="s">
        <v>34</v>
      </c>
      <c r="AB5" s="10" t="s">
        <v>915</v>
      </c>
      <c r="AC5" s="10"/>
    </row>
    <row r="6" s="2" customFormat="1" ht="103.55" hidden="1" spans="1:29">
      <c r="A6" s="10" t="s">
        <v>913</v>
      </c>
      <c r="B6" s="11" t="s">
        <v>30</v>
      </c>
      <c r="C6" s="10" t="s">
        <v>39</v>
      </c>
      <c r="D6" s="10" t="s">
        <v>42</v>
      </c>
      <c r="E6" s="10"/>
      <c r="F6" s="12"/>
      <c r="G6" s="13"/>
      <c r="H6" s="16"/>
      <c r="I6" s="10"/>
      <c r="J6" s="10"/>
      <c r="K6" s="10"/>
      <c r="L6" s="10"/>
      <c r="M6" s="10"/>
      <c r="N6" s="10"/>
      <c r="O6" s="10"/>
      <c r="P6" s="10"/>
      <c r="Q6" s="10"/>
      <c r="R6" s="10"/>
      <c r="S6" s="10" t="s">
        <v>916</v>
      </c>
      <c r="T6" s="10" t="s">
        <v>32</v>
      </c>
      <c r="U6" s="10" t="s">
        <v>916</v>
      </c>
      <c r="V6" s="50" t="s">
        <v>33</v>
      </c>
      <c r="W6" s="23"/>
      <c r="X6" s="10" t="s">
        <v>916</v>
      </c>
      <c r="Y6" s="10" t="s">
        <v>32</v>
      </c>
      <c r="Z6" s="10" t="str">
        <f>_xlfn.DISPIMG("ID_CBCCB03138BA4D55A977E8CE8EB4C584",1)</f>
        <v>=DISPIMG("ID_CBCCB03138BA4D55A977E8CE8EB4C584",1)</v>
      </c>
      <c r="AA6" s="10" t="s">
        <v>34</v>
      </c>
      <c r="AB6" s="10" t="s">
        <v>917</v>
      </c>
      <c r="AC6" s="10"/>
    </row>
    <row r="7" s="2" customFormat="1" ht="105.95" hidden="1" spans="1:29">
      <c r="A7" s="10" t="s">
        <v>913</v>
      </c>
      <c r="B7" s="11" t="s">
        <v>30</v>
      </c>
      <c r="C7" s="10" t="s">
        <v>39</v>
      </c>
      <c r="D7" s="10" t="s">
        <v>44</v>
      </c>
      <c r="E7" s="10"/>
      <c r="F7" s="12"/>
      <c r="G7" s="13"/>
      <c r="H7" s="14" t="s">
        <v>44</v>
      </c>
      <c r="I7" s="10"/>
      <c r="J7" s="10"/>
      <c r="K7" s="10"/>
      <c r="L7" s="10"/>
      <c r="M7" s="10"/>
      <c r="N7" s="10"/>
      <c r="O7" s="10"/>
      <c r="P7" s="10"/>
      <c r="Q7" s="10"/>
      <c r="R7" s="10"/>
      <c r="S7" s="10" t="s">
        <v>918</v>
      </c>
      <c r="T7" s="10" t="s">
        <v>32</v>
      </c>
      <c r="U7" s="10" t="s">
        <v>918</v>
      </c>
      <c r="V7" s="50" t="s">
        <v>33</v>
      </c>
      <c r="W7" s="23"/>
      <c r="X7" s="10" t="s">
        <v>918</v>
      </c>
      <c r="Y7" s="10" t="s">
        <v>32</v>
      </c>
      <c r="Z7" s="10" t="str">
        <f>_xlfn.DISPIMG("ID_AFDCBC6D0D9341F9B032FE5B3A0C6A75",1)</f>
        <v>=DISPIMG("ID_AFDCBC6D0D9341F9B032FE5B3A0C6A75",1)</v>
      </c>
      <c r="AA7" s="10" t="s">
        <v>34</v>
      </c>
      <c r="AB7" s="10" t="s">
        <v>46</v>
      </c>
      <c r="AC7" s="10"/>
    </row>
    <row r="8" s="2" customFormat="1" ht="102.05" hidden="1" spans="1:29">
      <c r="A8" s="10" t="s">
        <v>913</v>
      </c>
      <c r="B8" s="11" t="s">
        <v>30</v>
      </c>
      <c r="C8" s="10" t="s">
        <v>39</v>
      </c>
      <c r="D8" s="10" t="s">
        <v>44</v>
      </c>
      <c r="E8" s="10"/>
      <c r="F8" s="12"/>
      <c r="G8" s="13"/>
      <c r="H8" s="15"/>
      <c r="I8" s="10"/>
      <c r="J8" s="10"/>
      <c r="K8" s="10"/>
      <c r="L8" s="10"/>
      <c r="M8" s="10"/>
      <c r="N8" s="10"/>
      <c r="O8" s="10"/>
      <c r="P8" s="10"/>
      <c r="Q8" s="10"/>
      <c r="R8" s="10"/>
      <c r="S8" s="10" t="s">
        <v>919</v>
      </c>
      <c r="T8" s="10" t="s">
        <v>32</v>
      </c>
      <c r="U8" s="10" t="s">
        <v>919</v>
      </c>
      <c r="V8" s="50" t="s">
        <v>33</v>
      </c>
      <c r="W8" s="23"/>
      <c r="X8" s="10" t="s">
        <v>919</v>
      </c>
      <c r="Y8" s="10" t="s">
        <v>32</v>
      </c>
      <c r="Z8" s="10" t="str">
        <f>_xlfn.DISPIMG("ID_4215CE45171442CA987C6783F8B4F3B7",1)</f>
        <v>=DISPIMG("ID_4215CE45171442CA987C6783F8B4F3B7",1)</v>
      </c>
      <c r="AA8" s="10" t="s">
        <v>34</v>
      </c>
      <c r="AB8" s="10" t="s">
        <v>48</v>
      </c>
      <c r="AC8" s="10"/>
    </row>
    <row r="9" s="2" customFormat="1" ht="103.6" hidden="1" spans="1:29">
      <c r="A9" s="10" t="s">
        <v>913</v>
      </c>
      <c r="B9" s="11" t="s">
        <v>30</v>
      </c>
      <c r="C9" s="10" t="s">
        <v>39</v>
      </c>
      <c r="D9" s="10" t="s">
        <v>44</v>
      </c>
      <c r="E9" s="10"/>
      <c r="F9" s="12"/>
      <c r="G9" s="13"/>
      <c r="H9" s="15"/>
      <c r="I9" s="10"/>
      <c r="J9" s="10"/>
      <c r="K9" s="10"/>
      <c r="L9" s="10"/>
      <c r="M9" s="10"/>
      <c r="N9" s="10"/>
      <c r="O9" s="10"/>
      <c r="P9" s="10"/>
      <c r="Q9" s="10"/>
      <c r="R9" s="10"/>
      <c r="S9" s="10" t="s">
        <v>920</v>
      </c>
      <c r="T9" s="10" t="s">
        <v>32</v>
      </c>
      <c r="U9" s="10" t="s">
        <v>920</v>
      </c>
      <c r="V9" s="50" t="s">
        <v>33</v>
      </c>
      <c r="W9" s="23"/>
      <c r="X9" s="10" t="s">
        <v>920</v>
      </c>
      <c r="Y9" s="10" t="s">
        <v>32</v>
      </c>
      <c r="Z9" s="10" t="str">
        <f>_xlfn.DISPIMG("ID_C56AA38FBD38410FA6EEC8E14BE66C41",1)</f>
        <v>=DISPIMG("ID_C56AA38FBD38410FA6EEC8E14BE66C41",1)</v>
      </c>
      <c r="AA9" s="10" t="s">
        <v>34</v>
      </c>
      <c r="AB9" s="10" t="s">
        <v>50</v>
      </c>
      <c r="AC9" s="10"/>
    </row>
    <row r="10" s="2" customFormat="1" ht="66" hidden="1" spans="1:29">
      <c r="A10" s="10" t="s">
        <v>913</v>
      </c>
      <c r="B10" s="11" t="s">
        <v>30</v>
      </c>
      <c r="C10" s="10" t="s">
        <v>39</v>
      </c>
      <c r="D10" s="10" t="s">
        <v>44</v>
      </c>
      <c r="E10" s="10"/>
      <c r="F10" s="12"/>
      <c r="G10" s="13"/>
      <c r="H10" s="16"/>
      <c r="I10" s="10"/>
      <c r="J10" s="10"/>
      <c r="K10" s="10"/>
      <c r="L10" s="10"/>
      <c r="M10" s="10"/>
      <c r="N10" s="10"/>
      <c r="O10" s="10"/>
      <c r="P10" s="10"/>
      <c r="Q10" s="10"/>
      <c r="R10" s="10"/>
      <c r="S10" s="10" t="s">
        <v>921</v>
      </c>
      <c r="T10" s="10" t="s">
        <v>32</v>
      </c>
      <c r="U10" s="10" t="s">
        <v>921</v>
      </c>
      <c r="V10" s="50" t="s">
        <v>33</v>
      </c>
      <c r="W10" s="23"/>
      <c r="X10" s="10" t="s">
        <v>921</v>
      </c>
      <c r="Y10" s="10" t="s">
        <v>32</v>
      </c>
      <c r="Z10" s="10" t="str">
        <f>_xlfn.DISPIMG("ID_CA771A0A0934446396B164C0E78364A8",1)</f>
        <v>=DISPIMG("ID_CA771A0A0934446396B164C0E78364A8",1)</v>
      </c>
      <c r="AA10" s="10" t="s">
        <v>34</v>
      </c>
      <c r="AB10" s="10" t="s">
        <v>52</v>
      </c>
      <c r="AC10" s="10"/>
    </row>
    <row r="11" s="2" customFormat="1" ht="66" hidden="1" spans="1:29">
      <c r="A11" s="10" t="s">
        <v>913</v>
      </c>
      <c r="B11" s="11" t="s">
        <v>53</v>
      </c>
      <c r="C11" s="10" t="s">
        <v>922</v>
      </c>
      <c r="D11" s="10" t="s">
        <v>55</v>
      </c>
      <c r="E11" s="10"/>
      <c r="F11" s="12"/>
      <c r="G11" s="13"/>
      <c r="H11" s="14" t="s">
        <v>55</v>
      </c>
      <c r="I11" s="10"/>
      <c r="J11" s="10"/>
      <c r="K11" s="10"/>
      <c r="L11" s="10"/>
      <c r="M11" s="10"/>
      <c r="N11" s="10"/>
      <c r="O11" s="10"/>
      <c r="P11" s="10"/>
      <c r="Q11" s="10"/>
      <c r="R11" s="19"/>
      <c r="S11" s="10" t="s">
        <v>923</v>
      </c>
      <c r="T11" s="10" t="s">
        <v>32</v>
      </c>
      <c r="U11" s="10" t="s">
        <v>923</v>
      </c>
      <c r="V11" s="50" t="s">
        <v>33</v>
      </c>
      <c r="W11" s="23"/>
      <c r="X11" s="10" t="s">
        <v>923</v>
      </c>
      <c r="Y11" s="10" t="s">
        <v>32</v>
      </c>
      <c r="Z11" s="55" t="str">
        <f>_xlfn.DISPIMG("ID_CF08C32C26754D07A7B27EFC6AB52ED4",1)</f>
        <v>=DISPIMG("ID_CF08C32C26754D07A7B27EFC6AB52ED4",1)</v>
      </c>
      <c r="AA11" s="10" t="s">
        <v>34</v>
      </c>
      <c r="AB11" s="10" t="s">
        <v>56</v>
      </c>
      <c r="AC11" s="10"/>
    </row>
    <row r="12" s="2" customFormat="1" ht="229.25" hidden="1" spans="1:29">
      <c r="A12" s="10" t="s">
        <v>913</v>
      </c>
      <c r="B12" s="11" t="s">
        <v>53</v>
      </c>
      <c r="C12" s="10" t="s">
        <v>922</v>
      </c>
      <c r="D12" s="10" t="s">
        <v>55</v>
      </c>
      <c r="E12" s="10"/>
      <c r="F12" s="12"/>
      <c r="G12" s="13"/>
      <c r="H12" s="15"/>
      <c r="I12" s="10"/>
      <c r="J12" s="10"/>
      <c r="K12" s="10"/>
      <c r="L12" s="10"/>
      <c r="M12" s="10"/>
      <c r="N12" s="10"/>
      <c r="O12" s="10"/>
      <c r="P12" s="10"/>
      <c r="Q12" s="10"/>
      <c r="R12" s="10"/>
      <c r="S12" s="10" t="s">
        <v>924</v>
      </c>
      <c r="T12" s="10" t="s">
        <v>58</v>
      </c>
      <c r="U12" s="10" t="s">
        <v>924</v>
      </c>
      <c r="V12" s="50" t="s">
        <v>33</v>
      </c>
      <c r="W12" s="23"/>
      <c r="X12" s="10" t="s">
        <v>924</v>
      </c>
      <c r="Y12" s="10" t="s">
        <v>58</v>
      </c>
      <c r="Z12" s="10" t="str">
        <f>_xlfn.DISPIMG("ID_198BF76847D446EFB7DE998B55DEFF7B",1)</f>
        <v>=DISPIMG("ID_198BF76847D446EFB7DE998B55DEFF7B",1)</v>
      </c>
      <c r="AA12" s="10" t="s">
        <v>34</v>
      </c>
      <c r="AB12" s="10" t="s">
        <v>925</v>
      </c>
      <c r="AC12" s="10"/>
    </row>
    <row r="13" s="2" customFormat="1" ht="105.3" hidden="1" spans="1:29">
      <c r="A13" s="10" t="s">
        <v>913</v>
      </c>
      <c r="B13" s="11" t="s">
        <v>53</v>
      </c>
      <c r="C13" s="10" t="s">
        <v>922</v>
      </c>
      <c r="D13" s="10" t="s">
        <v>55</v>
      </c>
      <c r="E13" s="10"/>
      <c r="F13" s="12"/>
      <c r="G13" s="13"/>
      <c r="H13" s="15"/>
      <c r="I13" s="10"/>
      <c r="J13" s="10"/>
      <c r="K13" s="10"/>
      <c r="L13" s="10"/>
      <c r="M13" s="10"/>
      <c r="N13" s="10"/>
      <c r="O13" s="10"/>
      <c r="P13" s="10"/>
      <c r="Q13" s="10"/>
      <c r="R13" s="19"/>
      <c r="S13" s="10" t="s">
        <v>926</v>
      </c>
      <c r="T13" s="10" t="s">
        <v>32</v>
      </c>
      <c r="U13" s="10" t="s">
        <v>926</v>
      </c>
      <c r="V13" s="50" t="s">
        <v>33</v>
      </c>
      <c r="W13" s="23"/>
      <c r="X13" s="10" t="s">
        <v>926</v>
      </c>
      <c r="Y13" s="10" t="s">
        <v>32</v>
      </c>
      <c r="Z13" s="10" t="str">
        <f>_xlfn.DISPIMG("ID_CEE3F5138F3E42D19859E2E86A62E16C",1)</f>
        <v>=DISPIMG("ID_CEE3F5138F3E42D19859E2E86A62E16C",1)</v>
      </c>
      <c r="AA13" s="10" t="s">
        <v>34</v>
      </c>
      <c r="AB13" s="10" t="s">
        <v>56</v>
      </c>
      <c r="AC13" s="10"/>
    </row>
    <row r="14" s="2" customFormat="1" ht="80.25" hidden="1" spans="1:29">
      <c r="A14" s="10" t="s">
        <v>913</v>
      </c>
      <c r="B14" s="11" t="s">
        <v>53</v>
      </c>
      <c r="C14" s="10" t="s">
        <v>922</v>
      </c>
      <c r="D14" s="10" t="s">
        <v>55</v>
      </c>
      <c r="E14" s="10"/>
      <c r="F14" s="12"/>
      <c r="G14" s="13"/>
      <c r="H14" s="15"/>
      <c r="I14" s="10"/>
      <c r="J14" s="10"/>
      <c r="K14" s="10"/>
      <c r="L14" s="10"/>
      <c r="M14" s="10"/>
      <c r="N14" s="10"/>
      <c r="O14" s="10"/>
      <c r="P14" s="10"/>
      <c r="Q14" s="10"/>
      <c r="R14" s="19"/>
      <c r="S14" s="10" t="s">
        <v>927</v>
      </c>
      <c r="T14" s="10" t="s">
        <v>68</v>
      </c>
      <c r="U14" s="10" t="s">
        <v>928</v>
      </c>
      <c r="V14" s="50" t="s">
        <v>33</v>
      </c>
      <c r="W14" s="23"/>
      <c r="X14" s="10" t="s">
        <v>927</v>
      </c>
      <c r="Y14" s="10" t="s">
        <v>68</v>
      </c>
      <c r="Z14" s="10" t="str">
        <f>_xlfn.DISPIMG("ID_56795206402E47D198D85AB48B4445C8",1)</f>
        <v>=DISPIMG("ID_56795206402E47D198D85AB48B4445C8",1)</v>
      </c>
      <c r="AA14" s="10" t="s">
        <v>34</v>
      </c>
      <c r="AB14" s="10" t="s">
        <v>929</v>
      </c>
      <c r="AC14" s="10"/>
    </row>
    <row r="15" s="2" customFormat="1" ht="104.85" hidden="1" spans="1:29">
      <c r="A15" s="10" t="s">
        <v>913</v>
      </c>
      <c r="B15" s="11" t="s">
        <v>53</v>
      </c>
      <c r="C15" s="10" t="s">
        <v>922</v>
      </c>
      <c r="D15" s="10" t="s">
        <v>55</v>
      </c>
      <c r="E15" s="10"/>
      <c r="F15" s="12"/>
      <c r="G15" s="13"/>
      <c r="H15" s="15"/>
      <c r="I15" s="10"/>
      <c r="J15" s="10"/>
      <c r="K15" s="10"/>
      <c r="L15" s="10"/>
      <c r="M15" s="10"/>
      <c r="N15" s="10"/>
      <c r="O15" s="10"/>
      <c r="P15" s="10"/>
      <c r="Q15" s="10"/>
      <c r="R15" s="26"/>
      <c r="S15" s="10" t="s">
        <v>930</v>
      </c>
      <c r="T15" s="10" t="s">
        <v>32</v>
      </c>
      <c r="U15" s="10" t="s">
        <v>930</v>
      </c>
      <c r="V15" s="50" t="s">
        <v>33</v>
      </c>
      <c r="W15" s="23"/>
      <c r="X15" s="10" t="s">
        <v>930</v>
      </c>
      <c r="Y15" s="10" t="s">
        <v>32</v>
      </c>
      <c r="Z15" s="10" t="str">
        <f>_xlfn.DISPIMG("ID_F3943A2F37D549DB8B8859E87FFB0D8C",1)</f>
        <v>=DISPIMG("ID_F3943A2F37D549DB8B8859E87FFB0D8C",1)</v>
      </c>
      <c r="AA15" s="10" t="s">
        <v>34</v>
      </c>
      <c r="AB15" s="10" t="s">
        <v>56</v>
      </c>
      <c r="AC15" s="10"/>
    </row>
    <row r="16" s="2" customFormat="1" ht="265.85" hidden="1" spans="1:29">
      <c r="A16" s="10" t="s">
        <v>913</v>
      </c>
      <c r="B16" s="11" t="s">
        <v>53</v>
      </c>
      <c r="C16" s="10" t="s">
        <v>922</v>
      </c>
      <c r="D16" s="10" t="s">
        <v>55</v>
      </c>
      <c r="E16" s="10"/>
      <c r="F16" s="12"/>
      <c r="G16" s="13"/>
      <c r="H16" s="15"/>
      <c r="I16" s="10"/>
      <c r="J16" s="10"/>
      <c r="K16" s="10"/>
      <c r="L16" s="10"/>
      <c r="M16" s="10"/>
      <c r="N16" s="10"/>
      <c r="O16" s="10"/>
      <c r="P16" s="10"/>
      <c r="Q16" s="10"/>
      <c r="R16" s="10"/>
      <c r="S16" s="10" t="s">
        <v>931</v>
      </c>
      <c r="T16" s="10" t="s">
        <v>58</v>
      </c>
      <c r="U16" s="10" t="s">
        <v>931</v>
      </c>
      <c r="V16" s="50" t="s">
        <v>33</v>
      </c>
      <c r="W16" s="23"/>
      <c r="X16" s="10" t="s">
        <v>931</v>
      </c>
      <c r="Y16" s="10" t="s">
        <v>58</v>
      </c>
      <c r="Z16" s="10" t="str">
        <f>_xlfn.DISPIMG("ID_D42D462062D14051A06BFD3395BECF2F",1)</f>
        <v>=DISPIMG("ID_D42D462062D14051A06BFD3395BECF2F",1)</v>
      </c>
      <c r="AA16" s="10" t="s">
        <v>34</v>
      </c>
      <c r="AB16" s="10" t="s">
        <v>932</v>
      </c>
      <c r="AC16" s="10"/>
    </row>
    <row r="17" s="2" customFormat="1" ht="111.1" hidden="1" spans="1:29">
      <c r="A17" s="10" t="s">
        <v>913</v>
      </c>
      <c r="B17" s="11" t="s">
        <v>53</v>
      </c>
      <c r="C17" s="10" t="s">
        <v>922</v>
      </c>
      <c r="D17" s="10" t="s">
        <v>55</v>
      </c>
      <c r="E17" s="10"/>
      <c r="F17" s="12"/>
      <c r="G17" s="13"/>
      <c r="H17" s="15"/>
      <c r="I17" s="10"/>
      <c r="J17" s="10"/>
      <c r="K17" s="10"/>
      <c r="L17" s="10"/>
      <c r="M17" s="10"/>
      <c r="N17" s="10"/>
      <c r="O17" s="10"/>
      <c r="P17" s="10"/>
      <c r="Q17" s="10"/>
      <c r="R17" s="10"/>
      <c r="S17" s="10" t="s">
        <v>933</v>
      </c>
      <c r="T17" s="10" t="s">
        <v>32</v>
      </c>
      <c r="U17" s="10" t="s">
        <v>933</v>
      </c>
      <c r="V17" s="50" t="s">
        <v>33</v>
      </c>
      <c r="W17" s="23"/>
      <c r="X17" s="10" t="s">
        <v>933</v>
      </c>
      <c r="Y17" s="10" t="s">
        <v>32</v>
      </c>
      <c r="Z17" s="10" t="str">
        <f>_xlfn.DISPIMG("ID_73A4CEBBD61F44F8820B5F9788EC29A3",1)</f>
        <v>=DISPIMG("ID_73A4CEBBD61F44F8820B5F9788EC29A3",1)</v>
      </c>
      <c r="AA17" s="10" t="s">
        <v>34</v>
      </c>
      <c r="AB17" s="10" t="s">
        <v>56</v>
      </c>
      <c r="AC17" s="10"/>
    </row>
    <row r="18" s="2" customFormat="1" ht="109.9" hidden="1" spans="1:29">
      <c r="A18" s="10" t="s">
        <v>913</v>
      </c>
      <c r="B18" s="11" t="s">
        <v>53</v>
      </c>
      <c r="C18" s="10" t="s">
        <v>922</v>
      </c>
      <c r="D18" s="10" t="s">
        <v>55</v>
      </c>
      <c r="E18" s="10"/>
      <c r="F18" s="12"/>
      <c r="G18" s="13"/>
      <c r="H18" s="15"/>
      <c r="I18" s="10"/>
      <c r="J18" s="10"/>
      <c r="K18" s="10"/>
      <c r="L18" s="10"/>
      <c r="M18" s="10"/>
      <c r="N18" s="10"/>
      <c r="O18" s="10"/>
      <c r="P18" s="10"/>
      <c r="Q18" s="10"/>
      <c r="R18" s="10"/>
      <c r="S18" s="10" t="s">
        <v>934</v>
      </c>
      <c r="T18" s="10" t="s">
        <v>32</v>
      </c>
      <c r="U18" s="10" t="s">
        <v>934</v>
      </c>
      <c r="V18" s="50" t="s">
        <v>33</v>
      </c>
      <c r="W18" s="23"/>
      <c r="X18" s="10" t="s">
        <v>934</v>
      </c>
      <c r="Y18" s="10" t="s">
        <v>32</v>
      </c>
      <c r="Z18" s="10" t="str">
        <f>_xlfn.DISPIMG("ID_7C61B097179D4140A227EB57CA7686B1",1)</f>
        <v>=DISPIMG("ID_7C61B097179D4140A227EB57CA7686B1",1)</v>
      </c>
      <c r="AA18" s="10" t="s">
        <v>34</v>
      </c>
      <c r="AB18" s="10" t="s">
        <v>56</v>
      </c>
      <c r="AC18" s="10"/>
    </row>
    <row r="19" s="2" customFormat="1" ht="109.9" hidden="1" spans="1:29">
      <c r="A19" s="10" t="s">
        <v>913</v>
      </c>
      <c r="B19" s="11" t="s">
        <v>53</v>
      </c>
      <c r="C19" s="10" t="s">
        <v>922</v>
      </c>
      <c r="D19" s="10" t="s">
        <v>55</v>
      </c>
      <c r="E19" s="10"/>
      <c r="F19" s="12"/>
      <c r="G19" s="13"/>
      <c r="H19" s="15"/>
      <c r="I19" s="10"/>
      <c r="J19" s="10"/>
      <c r="K19" s="10"/>
      <c r="L19" s="10"/>
      <c r="M19" s="10"/>
      <c r="N19" s="10"/>
      <c r="O19" s="10"/>
      <c r="P19" s="10"/>
      <c r="Q19" s="10"/>
      <c r="R19" s="10"/>
      <c r="S19" s="10" t="s">
        <v>935</v>
      </c>
      <c r="T19" s="10" t="s">
        <v>32</v>
      </c>
      <c r="U19" s="10" t="s">
        <v>935</v>
      </c>
      <c r="V19" s="50" t="s">
        <v>33</v>
      </c>
      <c r="W19" s="23"/>
      <c r="X19" s="10" t="s">
        <v>935</v>
      </c>
      <c r="Y19" s="10" t="s">
        <v>32</v>
      </c>
      <c r="Z19" s="10" t="str">
        <f>_xlfn.DISPIMG("ID_686D2374635A41B5AB8D21890C885A9B",1)</f>
        <v>=DISPIMG("ID_686D2374635A41B5AB8D21890C885A9B",1)</v>
      </c>
      <c r="AA19" s="10" t="s">
        <v>34</v>
      </c>
      <c r="AB19" s="10" t="s">
        <v>56</v>
      </c>
      <c r="AC19" s="10"/>
    </row>
    <row r="20" s="2" customFormat="1" ht="112" hidden="1" spans="1:29">
      <c r="A20" s="10" t="s">
        <v>913</v>
      </c>
      <c r="B20" s="11" t="s">
        <v>53</v>
      </c>
      <c r="C20" s="10" t="s">
        <v>922</v>
      </c>
      <c r="D20" s="10" t="s">
        <v>55</v>
      </c>
      <c r="E20" s="10"/>
      <c r="F20" s="12"/>
      <c r="G20" s="13"/>
      <c r="H20" s="15"/>
      <c r="I20" s="10"/>
      <c r="J20" s="10"/>
      <c r="K20" s="10"/>
      <c r="L20" s="10"/>
      <c r="M20" s="10"/>
      <c r="N20" s="10"/>
      <c r="O20" s="10"/>
      <c r="P20" s="10"/>
      <c r="Q20" s="10"/>
      <c r="R20" s="10"/>
      <c r="S20" s="10" t="s">
        <v>936</v>
      </c>
      <c r="T20" s="10" t="s">
        <v>32</v>
      </c>
      <c r="U20" s="10" t="s">
        <v>936</v>
      </c>
      <c r="V20" s="50" t="s">
        <v>33</v>
      </c>
      <c r="W20" s="23"/>
      <c r="X20" s="10" t="s">
        <v>936</v>
      </c>
      <c r="Y20" s="10" t="s">
        <v>32</v>
      </c>
      <c r="Z20" s="10" t="str">
        <f>_xlfn.DISPIMG("ID_B96F96AC48AF4B5F89AE324AF53A40CC",1)</f>
        <v>=DISPIMG("ID_B96F96AC48AF4B5F89AE324AF53A40CC",1)</v>
      </c>
      <c r="AA20" s="10" t="s">
        <v>34</v>
      </c>
      <c r="AB20" s="10" t="s">
        <v>56</v>
      </c>
      <c r="AC20" s="10"/>
    </row>
    <row r="21" s="2" customFormat="1" ht="110.1" hidden="1" spans="1:29">
      <c r="A21" s="10" t="s">
        <v>913</v>
      </c>
      <c r="B21" s="11" t="s">
        <v>53</v>
      </c>
      <c r="C21" s="10" t="s">
        <v>922</v>
      </c>
      <c r="D21" s="10" t="s">
        <v>55</v>
      </c>
      <c r="E21" s="10"/>
      <c r="F21" s="12"/>
      <c r="G21" s="13"/>
      <c r="H21" s="16"/>
      <c r="I21" s="10"/>
      <c r="J21" s="10"/>
      <c r="K21" s="10"/>
      <c r="L21" s="10"/>
      <c r="M21" s="10"/>
      <c r="N21" s="10"/>
      <c r="O21" s="10"/>
      <c r="P21" s="10"/>
      <c r="Q21" s="10"/>
      <c r="R21" s="10"/>
      <c r="S21" s="10" t="s">
        <v>937</v>
      </c>
      <c r="T21" s="10" t="s">
        <v>32</v>
      </c>
      <c r="U21" s="10" t="s">
        <v>937</v>
      </c>
      <c r="V21" s="50" t="s">
        <v>33</v>
      </c>
      <c r="W21" s="23"/>
      <c r="X21" s="10" t="s">
        <v>937</v>
      </c>
      <c r="Y21" s="10" t="s">
        <v>32</v>
      </c>
      <c r="Z21" s="10" t="str">
        <f>_xlfn.DISPIMG("ID_23C285AB56C3462E8E2E3290AC94F855",1)</f>
        <v>=DISPIMG("ID_23C285AB56C3462E8E2E3290AC94F855",1)</v>
      </c>
      <c r="AA21" s="10" t="s">
        <v>34</v>
      </c>
      <c r="AB21" s="10" t="s">
        <v>56</v>
      </c>
      <c r="AC21" s="10"/>
    </row>
    <row r="22" s="2" customFormat="1" ht="104.4" hidden="1" spans="1:29">
      <c r="A22" s="10" t="s">
        <v>913</v>
      </c>
      <c r="B22" s="11" t="s">
        <v>53</v>
      </c>
      <c r="C22" s="10" t="s">
        <v>922</v>
      </c>
      <c r="D22" s="10" t="s">
        <v>72</v>
      </c>
      <c r="E22" s="10"/>
      <c r="F22" s="12"/>
      <c r="G22" s="13"/>
      <c r="H22" s="14" t="s">
        <v>72</v>
      </c>
      <c r="I22" s="10"/>
      <c r="J22" s="10"/>
      <c r="K22" s="10"/>
      <c r="L22" s="10"/>
      <c r="M22" s="10"/>
      <c r="N22" s="10"/>
      <c r="O22" s="10"/>
      <c r="P22" s="10"/>
      <c r="Q22" s="10"/>
      <c r="R22" s="10"/>
      <c r="S22" s="10" t="s">
        <v>938</v>
      </c>
      <c r="T22" s="10" t="s">
        <v>32</v>
      </c>
      <c r="U22" s="10" t="s">
        <v>938</v>
      </c>
      <c r="V22" s="50" t="s">
        <v>33</v>
      </c>
      <c r="W22" s="23"/>
      <c r="X22" s="10" t="s">
        <v>938</v>
      </c>
      <c r="Y22" s="10" t="s">
        <v>32</v>
      </c>
      <c r="Z22" s="10" t="str">
        <f>_xlfn.DISPIMG("ID_14716B16E4724ADEBAB54035769F7834",1)</f>
        <v>=DISPIMG("ID_14716B16E4724ADEBAB54035769F7834",1)</v>
      </c>
      <c r="AA22" s="10" t="s">
        <v>34</v>
      </c>
      <c r="AB22" s="10" t="s">
        <v>56</v>
      </c>
      <c r="AC22" s="10"/>
    </row>
    <row r="23" s="2" customFormat="1" ht="104.4" hidden="1" spans="1:29">
      <c r="A23" s="10" t="s">
        <v>913</v>
      </c>
      <c r="B23" s="11" t="s">
        <v>53</v>
      </c>
      <c r="C23" s="10" t="s">
        <v>922</v>
      </c>
      <c r="D23" s="10" t="s">
        <v>72</v>
      </c>
      <c r="E23" s="10"/>
      <c r="F23" s="12"/>
      <c r="G23" s="13"/>
      <c r="H23" s="15"/>
      <c r="I23" s="10"/>
      <c r="J23" s="10"/>
      <c r="K23" s="10"/>
      <c r="L23" s="10"/>
      <c r="M23" s="10"/>
      <c r="N23" s="10"/>
      <c r="O23" s="10"/>
      <c r="P23" s="10"/>
      <c r="Q23" s="10"/>
      <c r="R23" s="10"/>
      <c r="S23" s="10" t="s">
        <v>939</v>
      </c>
      <c r="T23" s="10" t="s">
        <v>32</v>
      </c>
      <c r="U23" s="10" t="s">
        <v>939</v>
      </c>
      <c r="V23" s="50" t="s">
        <v>33</v>
      </c>
      <c r="W23" s="23"/>
      <c r="X23" s="10" t="s">
        <v>939</v>
      </c>
      <c r="Y23" s="10" t="s">
        <v>32</v>
      </c>
      <c r="Z23" s="10" t="str">
        <f>_xlfn.DISPIMG("ID_2D967E06D5264E2B83DC6C440F9F768D",1)</f>
        <v>=DISPIMG("ID_2D967E06D5264E2B83DC6C440F9F768D",1)</v>
      </c>
      <c r="AA23" s="10" t="s">
        <v>34</v>
      </c>
      <c r="AB23" s="10" t="s">
        <v>56</v>
      </c>
      <c r="AC23" s="10"/>
    </row>
    <row r="24" s="2" customFormat="1" ht="107.2" hidden="1" spans="1:29">
      <c r="A24" s="10" t="s">
        <v>913</v>
      </c>
      <c r="B24" s="11" t="s">
        <v>53</v>
      </c>
      <c r="C24" s="10" t="s">
        <v>922</v>
      </c>
      <c r="D24" s="10" t="s">
        <v>72</v>
      </c>
      <c r="E24" s="10"/>
      <c r="F24" s="12"/>
      <c r="G24" s="13"/>
      <c r="H24" s="15"/>
      <c r="I24" s="10"/>
      <c r="J24" s="10"/>
      <c r="K24" s="10"/>
      <c r="L24" s="10"/>
      <c r="M24" s="10"/>
      <c r="N24" s="10"/>
      <c r="O24" s="10"/>
      <c r="P24" s="10"/>
      <c r="Q24" s="10"/>
      <c r="R24" s="10"/>
      <c r="S24" s="10" t="s">
        <v>940</v>
      </c>
      <c r="T24" s="10" t="s">
        <v>32</v>
      </c>
      <c r="U24" s="10" t="s">
        <v>940</v>
      </c>
      <c r="V24" s="50" t="s">
        <v>33</v>
      </c>
      <c r="W24" s="23"/>
      <c r="X24" s="10" t="s">
        <v>940</v>
      </c>
      <c r="Y24" s="10" t="s">
        <v>32</v>
      </c>
      <c r="Z24" s="10" t="str">
        <f>_xlfn.DISPIMG("ID_FB955196BCAD4869A53631385379BC40",1)</f>
        <v>=DISPIMG("ID_FB955196BCAD4869A53631385379BC40",1)</v>
      </c>
      <c r="AA24" s="10" t="s">
        <v>34</v>
      </c>
      <c r="AB24" s="10" t="s">
        <v>56</v>
      </c>
      <c r="AC24" s="10"/>
    </row>
    <row r="25" s="2" customFormat="1" ht="104.45" hidden="1" spans="1:29">
      <c r="A25" s="10" t="s">
        <v>913</v>
      </c>
      <c r="B25" s="11" t="s">
        <v>53</v>
      </c>
      <c r="C25" s="10" t="s">
        <v>922</v>
      </c>
      <c r="D25" s="10" t="s">
        <v>72</v>
      </c>
      <c r="E25" s="10"/>
      <c r="F25" s="12"/>
      <c r="G25" s="13"/>
      <c r="H25" s="15"/>
      <c r="I25" s="10"/>
      <c r="J25" s="10"/>
      <c r="K25" s="10"/>
      <c r="L25" s="10"/>
      <c r="M25" s="10"/>
      <c r="N25" s="10"/>
      <c r="O25" s="10"/>
      <c r="P25" s="10"/>
      <c r="Q25" s="10"/>
      <c r="R25" s="10"/>
      <c r="S25" s="10" t="s">
        <v>941</v>
      </c>
      <c r="T25" s="10" t="s">
        <v>32</v>
      </c>
      <c r="U25" s="10" t="s">
        <v>941</v>
      </c>
      <c r="V25" s="50" t="s">
        <v>33</v>
      </c>
      <c r="W25" s="23"/>
      <c r="X25" s="10" t="s">
        <v>941</v>
      </c>
      <c r="Y25" s="10" t="s">
        <v>32</v>
      </c>
      <c r="Z25" s="10" t="str">
        <f>_xlfn.DISPIMG("ID_2AD373EDE8CD4AD39311E34F3F51CAAA",1)</f>
        <v>=DISPIMG("ID_2AD373EDE8CD4AD39311E34F3F51CAAA",1)</v>
      </c>
      <c r="AA25" s="10" t="s">
        <v>34</v>
      </c>
      <c r="AB25" s="10" t="s">
        <v>56</v>
      </c>
      <c r="AC25" s="10"/>
    </row>
    <row r="26" s="2" customFormat="1" ht="105" hidden="1" spans="1:29">
      <c r="A26" s="10" t="s">
        <v>913</v>
      </c>
      <c r="B26" s="11" t="s">
        <v>53</v>
      </c>
      <c r="C26" s="10" t="s">
        <v>922</v>
      </c>
      <c r="D26" s="10" t="s">
        <v>72</v>
      </c>
      <c r="E26" s="10"/>
      <c r="F26" s="12"/>
      <c r="G26" s="13"/>
      <c r="H26" s="15"/>
      <c r="I26" s="10"/>
      <c r="J26" s="10"/>
      <c r="K26" s="10"/>
      <c r="L26" s="10"/>
      <c r="M26" s="10"/>
      <c r="N26" s="10"/>
      <c r="O26" s="10"/>
      <c r="P26" s="10"/>
      <c r="Q26" s="10"/>
      <c r="R26" s="10"/>
      <c r="S26" s="10" t="s">
        <v>942</v>
      </c>
      <c r="T26" s="10" t="s">
        <v>32</v>
      </c>
      <c r="U26" s="10" t="s">
        <v>942</v>
      </c>
      <c r="V26" s="50" t="s">
        <v>33</v>
      </c>
      <c r="W26" s="23"/>
      <c r="X26" s="10" t="s">
        <v>942</v>
      </c>
      <c r="Y26" s="10" t="s">
        <v>32</v>
      </c>
      <c r="Z26" s="10" t="str">
        <f>_xlfn.DISPIMG("ID_3CD052351AC446EF9EBE9C3479EB9704",1)</f>
        <v>=DISPIMG("ID_3CD052351AC446EF9EBE9C3479EB9704",1)</v>
      </c>
      <c r="AA26" s="10" t="s">
        <v>34</v>
      </c>
      <c r="AB26" s="10" t="s">
        <v>56</v>
      </c>
      <c r="AC26" s="10"/>
    </row>
    <row r="27" s="2" customFormat="1" ht="118.8" hidden="1" spans="1:29">
      <c r="A27" s="10" t="s">
        <v>913</v>
      </c>
      <c r="B27" s="11" t="s">
        <v>53</v>
      </c>
      <c r="C27" s="10" t="s">
        <v>922</v>
      </c>
      <c r="D27" s="10" t="s">
        <v>72</v>
      </c>
      <c r="E27" s="10"/>
      <c r="F27" s="12"/>
      <c r="G27" s="13"/>
      <c r="H27" s="16"/>
      <c r="I27" s="10"/>
      <c r="J27" s="10"/>
      <c r="K27" s="10"/>
      <c r="L27" s="10"/>
      <c r="M27" s="10"/>
      <c r="N27" s="10"/>
      <c r="O27" s="10"/>
      <c r="P27" s="10"/>
      <c r="Q27" s="10"/>
      <c r="R27" s="10"/>
      <c r="S27" s="10" t="s">
        <v>943</v>
      </c>
      <c r="T27" s="10" t="s">
        <v>32</v>
      </c>
      <c r="U27" s="10" t="s">
        <v>943</v>
      </c>
      <c r="V27" s="50" t="s">
        <v>33</v>
      </c>
      <c r="W27" s="23"/>
      <c r="X27" s="10" t="s">
        <v>943</v>
      </c>
      <c r="Y27" s="10" t="s">
        <v>32</v>
      </c>
      <c r="Z27" s="10" t="str">
        <f>_xlfn.DISPIMG("ID_E700E5C180CB4447B32403BA94D0EBA0",1)</f>
        <v>=DISPIMG("ID_E700E5C180CB4447B32403BA94D0EBA0",1)</v>
      </c>
      <c r="AA27" s="10" t="s">
        <v>34</v>
      </c>
      <c r="AB27" s="10" t="s">
        <v>56</v>
      </c>
      <c r="AC27" s="10"/>
    </row>
    <row r="28" s="2" customFormat="1" ht="111.45" hidden="1" spans="1:29">
      <c r="A28" s="10" t="s">
        <v>913</v>
      </c>
      <c r="B28" s="11" t="s">
        <v>53</v>
      </c>
      <c r="C28" s="10" t="s">
        <v>922</v>
      </c>
      <c r="D28" s="10" t="s">
        <v>944</v>
      </c>
      <c r="E28" s="10"/>
      <c r="F28" s="12"/>
      <c r="G28" s="13"/>
      <c r="H28" s="14" t="s">
        <v>944</v>
      </c>
      <c r="I28" s="10"/>
      <c r="J28" s="10"/>
      <c r="K28" s="10"/>
      <c r="L28" s="10"/>
      <c r="M28" s="10"/>
      <c r="N28" s="10"/>
      <c r="O28" s="10"/>
      <c r="P28" s="10"/>
      <c r="Q28" s="10"/>
      <c r="R28" s="10"/>
      <c r="S28" s="10" t="s">
        <v>944</v>
      </c>
      <c r="T28" s="10" t="s">
        <v>32</v>
      </c>
      <c r="U28" s="10" t="s">
        <v>944</v>
      </c>
      <c r="V28" s="50" t="s">
        <v>33</v>
      </c>
      <c r="W28" s="23"/>
      <c r="X28" s="10" t="s">
        <v>944</v>
      </c>
      <c r="Y28" s="10" t="s">
        <v>32</v>
      </c>
      <c r="Z28" s="10" t="str">
        <f>_xlfn.DISPIMG("ID_CD9F844F1F25421E8C0ADE9A0C316D75",1)</f>
        <v>=DISPIMG("ID_CD9F844F1F25421E8C0ADE9A0C316D75",1)</v>
      </c>
      <c r="AA28" s="10" t="s">
        <v>34</v>
      </c>
      <c r="AB28" s="10" t="s">
        <v>56</v>
      </c>
      <c r="AC28" s="10" t="s">
        <v>945</v>
      </c>
    </row>
    <row r="29" s="2" customFormat="1" ht="110.7" hidden="1" spans="1:29">
      <c r="A29" s="10" t="s">
        <v>913</v>
      </c>
      <c r="B29" s="11" t="s">
        <v>53</v>
      </c>
      <c r="C29" s="10" t="s">
        <v>922</v>
      </c>
      <c r="D29" s="10" t="s">
        <v>944</v>
      </c>
      <c r="E29" s="10"/>
      <c r="F29" s="12"/>
      <c r="G29" s="13"/>
      <c r="H29" s="15"/>
      <c r="I29" s="10"/>
      <c r="J29" s="10"/>
      <c r="K29" s="10"/>
      <c r="L29" s="10"/>
      <c r="M29" s="10"/>
      <c r="N29" s="10"/>
      <c r="O29" s="10"/>
      <c r="P29" s="10"/>
      <c r="Q29" s="10"/>
      <c r="R29" s="10"/>
      <c r="S29" s="10" t="s">
        <v>946</v>
      </c>
      <c r="T29" s="10" t="s">
        <v>32</v>
      </c>
      <c r="U29" s="10" t="s">
        <v>946</v>
      </c>
      <c r="V29" s="50" t="s">
        <v>33</v>
      </c>
      <c r="W29" s="23"/>
      <c r="X29" s="10" t="s">
        <v>946</v>
      </c>
      <c r="Y29" s="10" t="s">
        <v>32</v>
      </c>
      <c r="Z29" s="10" t="str">
        <f>_xlfn.DISPIMG("ID_68F9FD21D0734433B75E650D14ADAF03",1)</f>
        <v>=DISPIMG("ID_68F9FD21D0734433B75E650D14ADAF03",1)</v>
      </c>
      <c r="AA29" s="10" t="s">
        <v>34</v>
      </c>
      <c r="AB29" s="10" t="s">
        <v>56</v>
      </c>
      <c r="AC29" s="10" t="s">
        <v>945</v>
      </c>
    </row>
    <row r="30" s="2" customFormat="1" ht="210.5" hidden="1" spans="1:29">
      <c r="A30" s="10" t="s">
        <v>913</v>
      </c>
      <c r="B30" s="11" t="s">
        <v>53</v>
      </c>
      <c r="C30" s="10" t="s">
        <v>922</v>
      </c>
      <c r="D30" s="10" t="s">
        <v>944</v>
      </c>
      <c r="E30" s="10"/>
      <c r="F30" s="12"/>
      <c r="G30" s="13"/>
      <c r="H30" s="15"/>
      <c r="I30" s="10"/>
      <c r="J30" s="10"/>
      <c r="K30" s="10"/>
      <c r="L30" s="10"/>
      <c r="M30" s="10"/>
      <c r="N30" s="10"/>
      <c r="O30" s="10"/>
      <c r="P30" s="10"/>
      <c r="Q30" s="10"/>
      <c r="R30" s="10"/>
      <c r="S30" s="10" t="s">
        <v>947</v>
      </c>
      <c r="T30" s="10" t="s">
        <v>58</v>
      </c>
      <c r="U30" s="10" t="s">
        <v>947</v>
      </c>
      <c r="V30" s="50" t="s">
        <v>33</v>
      </c>
      <c r="W30" s="23"/>
      <c r="X30" s="10" t="s">
        <v>947</v>
      </c>
      <c r="Y30" s="10" t="s">
        <v>58</v>
      </c>
      <c r="Z30" s="10" t="str">
        <f>_xlfn.DISPIMG("ID_50C025EA7BA14E279FD3D56EADFCFFE2",1)</f>
        <v>=DISPIMG("ID_50C025EA7BA14E279FD3D56EADFCFFE2",1)</v>
      </c>
      <c r="AA30" s="10" t="s">
        <v>34</v>
      </c>
      <c r="AB30" s="10" t="s">
        <v>948</v>
      </c>
      <c r="AC30" s="10" t="s">
        <v>945</v>
      </c>
    </row>
    <row r="31" s="2" customFormat="1" ht="111.2" hidden="1" spans="1:29">
      <c r="A31" s="10" t="s">
        <v>913</v>
      </c>
      <c r="B31" s="11" t="s">
        <v>53</v>
      </c>
      <c r="C31" s="10" t="s">
        <v>922</v>
      </c>
      <c r="D31" s="10" t="s">
        <v>944</v>
      </c>
      <c r="E31" s="10"/>
      <c r="F31" s="12"/>
      <c r="G31" s="13"/>
      <c r="H31" s="15"/>
      <c r="I31" s="10"/>
      <c r="J31" s="10"/>
      <c r="K31" s="10"/>
      <c r="L31" s="10"/>
      <c r="M31" s="10"/>
      <c r="N31" s="10"/>
      <c r="O31" s="10"/>
      <c r="P31" s="10"/>
      <c r="Q31" s="10"/>
      <c r="R31" s="10"/>
      <c r="S31" s="10" t="s">
        <v>949</v>
      </c>
      <c r="T31" s="10" t="s">
        <v>32</v>
      </c>
      <c r="U31" s="10" t="s">
        <v>949</v>
      </c>
      <c r="V31" s="50" t="s">
        <v>33</v>
      </c>
      <c r="W31" s="23"/>
      <c r="X31" s="10" t="s">
        <v>949</v>
      </c>
      <c r="Y31" s="10" t="s">
        <v>32</v>
      </c>
      <c r="Z31" s="10" t="str">
        <f>_xlfn.DISPIMG("ID_6E1AA6B822B048109DA108B8DFD947F3",1)</f>
        <v>=DISPIMG("ID_6E1AA6B822B048109DA108B8DFD947F3",1)</v>
      </c>
      <c r="AA31" s="10" t="s">
        <v>34</v>
      </c>
      <c r="AB31" s="10" t="s">
        <v>56</v>
      </c>
      <c r="AC31" s="10" t="s">
        <v>945</v>
      </c>
    </row>
    <row r="32" s="2" customFormat="1" ht="235.65" hidden="1" spans="1:29">
      <c r="A32" s="10" t="s">
        <v>913</v>
      </c>
      <c r="B32" s="11" t="s">
        <v>53</v>
      </c>
      <c r="C32" s="10" t="s">
        <v>922</v>
      </c>
      <c r="D32" s="10" t="s">
        <v>944</v>
      </c>
      <c r="E32" s="10"/>
      <c r="F32" s="12"/>
      <c r="G32" s="13"/>
      <c r="H32" s="15"/>
      <c r="I32" s="10"/>
      <c r="J32" s="10"/>
      <c r="K32" s="10"/>
      <c r="L32" s="10"/>
      <c r="M32" s="10"/>
      <c r="N32" s="10"/>
      <c r="O32" s="10"/>
      <c r="P32" s="10"/>
      <c r="Q32" s="10"/>
      <c r="R32" s="10"/>
      <c r="S32" s="10" t="s">
        <v>950</v>
      </c>
      <c r="T32" s="10" t="s">
        <v>58</v>
      </c>
      <c r="U32" s="10" t="s">
        <v>950</v>
      </c>
      <c r="V32" s="50" t="s">
        <v>33</v>
      </c>
      <c r="W32" s="23"/>
      <c r="X32" s="10" t="s">
        <v>950</v>
      </c>
      <c r="Y32" s="10" t="s">
        <v>58</v>
      </c>
      <c r="Z32" s="10" t="str">
        <f>_xlfn.DISPIMG("ID_E0513055992947338F62538C05400C0E",1)</f>
        <v>=DISPIMG("ID_E0513055992947338F62538C05400C0E",1)</v>
      </c>
      <c r="AA32" s="10" t="s">
        <v>34</v>
      </c>
      <c r="AB32" s="10" t="s">
        <v>951</v>
      </c>
      <c r="AC32" s="10" t="s">
        <v>945</v>
      </c>
    </row>
    <row r="33" s="2" customFormat="1" ht="112.8" hidden="1" spans="1:29">
      <c r="A33" s="10" t="s">
        <v>913</v>
      </c>
      <c r="B33" s="11" t="s">
        <v>53</v>
      </c>
      <c r="C33" s="10" t="s">
        <v>922</v>
      </c>
      <c r="D33" s="10" t="s">
        <v>944</v>
      </c>
      <c r="E33" s="10"/>
      <c r="F33" s="12"/>
      <c r="G33" s="13"/>
      <c r="H33" s="15"/>
      <c r="I33" s="10"/>
      <c r="J33" s="10"/>
      <c r="K33" s="10"/>
      <c r="L33" s="10"/>
      <c r="M33" s="10"/>
      <c r="N33" s="10"/>
      <c r="O33" s="10"/>
      <c r="P33" s="10"/>
      <c r="Q33" s="10"/>
      <c r="R33" s="10"/>
      <c r="S33" s="10" t="s">
        <v>952</v>
      </c>
      <c r="T33" s="10" t="s">
        <v>32</v>
      </c>
      <c r="U33" s="10" t="s">
        <v>952</v>
      </c>
      <c r="V33" s="50" t="s">
        <v>33</v>
      </c>
      <c r="W33" s="23"/>
      <c r="X33" s="10" t="s">
        <v>952</v>
      </c>
      <c r="Y33" s="10" t="s">
        <v>32</v>
      </c>
      <c r="Z33" s="10" t="str">
        <f>_xlfn.DISPIMG("ID_5A81FEEE739342B1BC1B48C9E6DDA650",1)</f>
        <v>=DISPIMG("ID_5A81FEEE739342B1BC1B48C9E6DDA650",1)</v>
      </c>
      <c r="AA33" s="10" t="s">
        <v>34</v>
      </c>
      <c r="AB33" s="10" t="s">
        <v>56</v>
      </c>
      <c r="AC33" s="10" t="s">
        <v>945</v>
      </c>
    </row>
    <row r="34" s="2" customFormat="1" ht="246" hidden="1" spans="1:29">
      <c r="A34" s="10" t="s">
        <v>913</v>
      </c>
      <c r="B34" s="11" t="s">
        <v>53</v>
      </c>
      <c r="C34" s="10" t="s">
        <v>922</v>
      </c>
      <c r="D34" s="10" t="s">
        <v>944</v>
      </c>
      <c r="E34" s="10"/>
      <c r="F34" s="12"/>
      <c r="G34" s="13"/>
      <c r="H34" s="15"/>
      <c r="I34" s="10"/>
      <c r="J34" s="10"/>
      <c r="K34" s="10"/>
      <c r="L34" s="10"/>
      <c r="M34" s="10"/>
      <c r="N34" s="10"/>
      <c r="O34" s="10"/>
      <c r="P34" s="10"/>
      <c r="Q34" s="10"/>
      <c r="R34" s="10"/>
      <c r="S34" s="10" t="s">
        <v>953</v>
      </c>
      <c r="T34" s="10" t="s">
        <v>58</v>
      </c>
      <c r="U34" s="10" t="s">
        <v>953</v>
      </c>
      <c r="V34" s="50" t="s">
        <v>33</v>
      </c>
      <c r="W34" s="23"/>
      <c r="X34" s="10" t="s">
        <v>953</v>
      </c>
      <c r="Y34" s="10" t="s">
        <v>58</v>
      </c>
      <c r="Z34" s="10" t="str">
        <f>_xlfn.DISPIMG("ID_28E1589237D84315ADA4E2BF72980D50",1)</f>
        <v>=DISPIMG("ID_28E1589237D84315ADA4E2BF72980D50",1)</v>
      </c>
      <c r="AA34" s="10" t="s">
        <v>34</v>
      </c>
      <c r="AB34" s="10" t="s">
        <v>954</v>
      </c>
      <c r="AC34" s="10" t="s">
        <v>945</v>
      </c>
    </row>
    <row r="35" s="2" customFormat="1" ht="111.45" hidden="1" spans="1:29">
      <c r="A35" s="10" t="s">
        <v>913</v>
      </c>
      <c r="B35" s="11" t="s">
        <v>53</v>
      </c>
      <c r="C35" s="10" t="s">
        <v>922</v>
      </c>
      <c r="D35" s="10" t="s">
        <v>944</v>
      </c>
      <c r="E35" s="10"/>
      <c r="F35" s="12"/>
      <c r="G35" s="13"/>
      <c r="H35" s="15"/>
      <c r="I35" s="10"/>
      <c r="J35" s="10"/>
      <c r="K35" s="10"/>
      <c r="L35" s="10"/>
      <c r="M35" s="10"/>
      <c r="N35" s="10"/>
      <c r="O35" s="10"/>
      <c r="P35" s="10"/>
      <c r="Q35" s="10"/>
      <c r="R35" s="10"/>
      <c r="S35" s="10" t="s">
        <v>955</v>
      </c>
      <c r="T35" s="10" t="s">
        <v>32</v>
      </c>
      <c r="U35" s="10" t="s">
        <v>955</v>
      </c>
      <c r="V35" s="50" t="s">
        <v>33</v>
      </c>
      <c r="W35" s="23"/>
      <c r="X35" s="10" t="s">
        <v>955</v>
      </c>
      <c r="Y35" s="10" t="s">
        <v>32</v>
      </c>
      <c r="Z35" s="10" t="str">
        <f>_xlfn.DISPIMG("ID_33BAC90803A94464B9336D1577CC63E0",1)</f>
        <v>=DISPIMG("ID_33BAC90803A94464B9336D1577CC63E0",1)</v>
      </c>
      <c r="AA35" s="10" t="s">
        <v>34</v>
      </c>
      <c r="AB35" s="10" t="s">
        <v>56</v>
      </c>
      <c r="AC35" s="10" t="s">
        <v>945</v>
      </c>
    </row>
    <row r="36" s="2" customFormat="1" ht="279.25" hidden="1" spans="1:29">
      <c r="A36" s="10" t="s">
        <v>913</v>
      </c>
      <c r="B36" s="11" t="s">
        <v>53</v>
      </c>
      <c r="C36" s="10" t="s">
        <v>922</v>
      </c>
      <c r="D36" s="10" t="s">
        <v>944</v>
      </c>
      <c r="E36" s="10"/>
      <c r="F36" s="12"/>
      <c r="G36" s="13"/>
      <c r="H36" s="15"/>
      <c r="I36" s="10"/>
      <c r="J36" s="10"/>
      <c r="K36" s="10"/>
      <c r="L36" s="10"/>
      <c r="M36" s="10"/>
      <c r="N36" s="10"/>
      <c r="O36" s="10"/>
      <c r="P36" s="10"/>
      <c r="Q36" s="10"/>
      <c r="R36" s="10"/>
      <c r="S36" s="10" t="s">
        <v>956</v>
      </c>
      <c r="T36" s="10" t="s">
        <v>58</v>
      </c>
      <c r="U36" s="10" t="s">
        <v>956</v>
      </c>
      <c r="V36" s="50" t="s">
        <v>33</v>
      </c>
      <c r="W36" s="23"/>
      <c r="X36" s="10" t="s">
        <v>956</v>
      </c>
      <c r="Y36" s="10" t="s">
        <v>58</v>
      </c>
      <c r="Z36" s="10" t="str">
        <f>_xlfn.DISPIMG("ID_61548B4D6750407CA574F2AA40CC4F53",1)</f>
        <v>=DISPIMG("ID_61548B4D6750407CA574F2AA40CC4F53",1)</v>
      </c>
      <c r="AA36" s="10" t="s">
        <v>34</v>
      </c>
      <c r="AB36" s="10" t="s">
        <v>957</v>
      </c>
      <c r="AC36" s="10" t="s">
        <v>945</v>
      </c>
    </row>
    <row r="37" s="2" customFormat="1" ht="247.5" hidden="1" spans="1:29">
      <c r="A37" s="10" t="s">
        <v>913</v>
      </c>
      <c r="B37" s="11" t="s">
        <v>53</v>
      </c>
      <c r="C37" s="10" t="s">
        <v>922</v>
      </c>
      <c r="D37" s="10" t="s">
        <v>944</v>
      </c>
      <c r="E37" s="10"/>
      <c r="F37" s="12"/>
      <c r="G37" s="13"/>
      <c r="H37" s="15"/>
      <c r="I37" s="10"/>
      <c r="J37" s="10"/>
      <c r="K37" s="10"/>
      <c r="L37" s="10"/>
      <c r="M37" s="10"/>
      <c r="N37" s="10"/>
      <c r="O37" s="10"/>
      <c r="P37" s="10"/>
      <c r="Q37" s="10"/>
      <c r="R37" s="10"/>
      <c r="S37" s="10" t="s">
        <v>958</v>
      </c>
      <c r="T37" s="10" t="s">
        <v>68</v>
      </c>
      <c r="U37" s="10" t="s">
        <v>959</v>
      </c>
      <c r="V37" s="50" t="s">
        <v>33</v>
      </c>
      <c r="W37" s="23"/>
      <c r="X37" s="10" t="s">
        <v>958</v>
      </c>
      <c r="Y37" s="10" t="s">
        <v>68</v>
      </c>
      <c r="Z37" s="10" t="str">
        <f>_xlfn.DISPIMG("ID_BF22567395F346A1B391B13D86C87D9C",1)</f>
        <v>=DISPIMG("ID_BF22567395F346A1B391B13D86C87D9C",1)</v>
      </c>
      <c r="AA37" s="10" t="s">
        <v>34</v>
      </c>
      <c r="AB37" s="10" t="s">
        <v>960</v>
      </c>
      <c r="AC37" s="10" t="s">
        <v>945</v>
      </c>
    </row>
    <row r="38" s="2" customFormat="1" ht="112.95" hidden="1" spans="1:29">
      <c r="A38" s="10" t="s">
        <v>913</v>
      </c>
      <c r="B38" s="11" t="s">
        <v>53</v>
      </c>
      <c r="C38" s="10" t="s">
        <v>922</v>
      </c>
      <c r="D38" s="10" t="s">
        <v>944</v>
      </c>
      <c r="E38" s="10"/>
      <c r="F38" s="12"/>
      <c r="G38" s="13"/>
      <c r="H38" s="15"/>
      <c r="I38" s="10"/>
      <c r="J38" s="10"/>
      <c r="K38" s="10"/>
      <c r="L38" s="10"/>
      <c r="M38" s="10"/>
      <c r="N38" s="10"/>
      <c r="O38" s="10"/>
      <c r="P38" s="10"/>
      <c r="Q38" s="10"/>
      <c r="R38" s="10"/>
      <c r="S38" s="10" t="s">
        <v>961</v>
      </c>
      <c r="T38" s="10" t="s">
        <v>32</v>
      </c>
      <c r="U38" s="10" t="s">
        <v>961</v>
      </c>
      <c r="V38" s="50" t="s">
        <v>33</v>
      </c>
      <c r="W38" s="23"/>
      <c r="X38" s="10" t="s">
        <v>961</v>
      </c>
      <c r="Y38" s="10" t="s">
        <v>32</v>
      </c>
      <c r="Z38" s="10" t="str">
        <f>_xlfn.DISPIMG("ID_A23B3BDCAE9741EE82A103F44DEDDEDC",1)</f>
        <v>=DISPIMG("ID_A23B3BDCAE9741EE82A103F44DEDDEDC",1)</v>
      </c>
      <c r="AA38" s="10" t="s">
        <v>34</v>
      </c>
      <c r="AB38" s="10" t="s">
        <v>56</v>
      </c>
      <c r="AC38" s="10" t="s">
        <v>945</v>
      </c>
    </row>
    <row r="39" s="2" customFormat="1" ht="148.5" hidden="1" spans="1:29">
      <c r="A39" s="10" t="s">
        <v>913</v>
      </c>
      <c r="B39" s="11" t="s">
        <v>53</v>
      </c>
      <c r="C39" s="10" t="s">
        <v>922</v>
      </c>
      <c r="D39" s="10" t="s">
        <v>944</v>
      </c>
      <c r="E39" s="10"/>
      <c r="F39" s="12"/>
      <c r="G39" s="13"/>
      <c r="H39" s="16"/>
      <c r="I39" s="10"/>
      <c r="J39" s="10"/>
      <c r="K39" s="10"/>
      <c r="L39" s="10"/>
      <c r="M39" s="10"/>
      <c r="N39" s="10"/>
      <c r="O39" s="10"/>
      <c r="P39" s="10"/>
      <c r="Q39" s="10"/>
      <c r="R39" s="10"/>
      <c r="S39" s="10" t="s">
        <v>962</v>
      </c>
      <c r="T39" s="10" t="s">
        <v>68</v>
      </c>
      <c r="U39" s="10" t="s">
        <v>963</v>
      </c>
      <c r="V39" s="50" t="s">
        <v>33</v>
      </c>
      <c r="W39" s="23"/>
      <c r="X39" s="10" t="s">
        <v>962</v>
      </c>
      <c r="Y39" s="10" t="s">
        <v>68</v>
      </c>
      <c r="Z39" s="10" t="str">
        <f>_xlfn.DISPIMG("ID_1B29C2C6FAB046D78BB02A6F3DF485BC",1)</f>
        <v>=DISPIMG("ID_1B29C2C6FAB046D78BB02A6F3DF485BC",1)</v>
      </c>
      <c r="AA39" s="10" t="s">
        <v>34</v>
      </c>
      <c r="AB39" s="10" t="s">
        <v>964</v>
      </c>
      <c r="AC39" s="10" t="s">
        <v>945</v>
      </c>
    </row>
    <row r="40" s="2" customFormat="1" ht="104.65" hidden="1" spans="1:29">
      <c r="A40" s="10" t="s">
        <v>913</v>
      </c>
      <c r="B40" s="11" t="s">
        <v>53</v>
      </c>
      <c r="C40" s="10" t="s">
        <v>922</v>
      </c>
      <c r="D40" s="10" t="s">
        <v>965</v>
      </c>
      <c r="E40" s="10"/>
      <c r="F40" s="12"/>
      <c r="G40" s="13"/>
      <c r="H40" s="14" t="s">
        <v>965</v>
      </c>
      <c r="I40" s="10"/>
      <c r="J40" s="10"/>
      <c r="K40" s="10"/>
      <c r="L40" s="10"/>
      <c r="M40" s="10"/>
      <c r="N40" s="10"/>
      <c r="O40" s="10"/>
      <c r="P40" s="10"/>
      <c r="Q40" s="10"/>
      <c r="R40" s="10"/>
      <c r="S40" s="10" t="s">
        <v>966</v>
      </c>
      <c r="T40" s="10" t="s">
        <v>32</v>
      </c>
      <c r="U40" s="10" t="s">
        <v>966</v>
      </c>
      <c r="V40" s="50" t="s">
        <v>33</v>
      </c>
      <c r="W40" s="23"/>
      <c r="X40" s="10" t="s">
        <v>966</v>
      </c>
      <c r="Y40" s="10" t="s">
        <v>32</v>
      </c>
      <c r="Z40" s="10" t="str">
        <f>_xlfn.DISPIMG("ID_1EC833D20DC84116B65FFB890493089F",1)</f>
        <v>=DISPIMG("ID_1EC833D20DC84116B65FFB890493089F",1)</v>
      </c>
      <c r="AA40" s="10" t="s">
        <v>34</v>
      </c>
      <c r="AB40" s="10" t="s">
        <v>56</v>
      </c>
      <c r="AC40" s="10" t="s">
        <v>967</v>
      </c>
    </row>
    <row r="41" s="2" customFormat="1" ht="105.2" hidden="1" spans="1:29">
      <c r="A41" s="10" t="s">
        <v>913</v>
      </c>
      <c r="B41" s="11" t="s">
        <v>53</v>
      </c>
      <c r="C41" s="10" t="s">
        <v>922</v>
      </c>
      <c r="D41" s="10" t="s">
        <v>965</v>
      </c>
      <c r="E41" s="10"/>
      <c r="F41" s="12"/>
      <c r="G41" s="13"/>
      <c r="H41" s="15"/>
      <c r="I41" s="10"/>
      <c r="J41" s="10"/>
      <c r="K41" s="10"/>
      <c r="L41" s="10"/>
      <c r="M41" s="10"/>
      <c r="N41" s="10"/>
      <c r="O41" s="10"/>
      <c r="P41" s="10"/>
      <c r="Q41" s="10"/>
      <c r="R41" s="10"/>
      <c r="S41" s="10" t="s">
        <v>968</v>
      </c>
      <c r="T41" s="10" t="s">
        <v>32</v>
      </c>
      <c r="U41" s="10" t="s">
        <v>968</v>
      </c>
      <c r="V41" s="50" t="s">
        <v>33</v>
      </c>
      <c r="W41" s="23"/>
      <c r="X41" s="10" t="s">
        <v>968</v>
      </c>
      <c r="Y41" s="10" t="s">
        <v>32</v>
      </c>
      <c r="Z41" s="10" t="str">
        <f>_xlfn.DISPIMG("ID_215930AD640147D5B8E67A08CC8FDE69",1)</f>
        <v>=DISPIMG("ID_215930AD640147D5B8E67A08CC8FDE69",1)</v>
      </c>
      <c r="AA41" s="10" t="s">
        <v>34</v>
      </c>
      <c r="AB41" s="10" t="s">
        <v>56</v>
      </c>
      <c r="AC41" s="10" t="s">
        <v>945</v>
      </c>
    </row>
    <row r="42" s="2" customFormat="1" ht="103" hidden="1" spans="1:29">
      <c r="A42" s="10" t="s">
        <v>913</v>
      </c>
      <c r="B42" s="11" t="s">
        <v>53</v>
      </c>
      <c r="C42" s="10" t="s">
        <v>922</v>
      </c>
      <c r="D42" s="10" t="s">
        <v>965</v>
      </c>
      <c r="E42" s="10"/>
      <c r="F42" s="12"/>
      <c r="G42" s="13"/>
      <c r="H42" s="15"/>
      <c r="I42" s="10"/>
      <c r="J42" s="10"/>
      <c r="K42" s="10"/>
      <c r="L42" s="10"/>
      <c r="M42" s="10"/>
      <c r="N42" s="10"/>
      <c r="O42" s="10"/>
      <c r="P42" s="10"/>
      <c r="Q42" s="10"/>
      <c r="R42" s="10"/>
      <c r="S42" s="10" t="s">
        <v>969</v>
      </c>
      <c r="T42" s="10" t="s">
        <v>32</v>
      </c>
      <c r="U42" s="10" t="s">
        <v>969</v>
      </c>
      <c r="V42" s="50" t="s">
        <v>33</v>
      </c>
      <c r="W42" s="23"/>
      <c r="X42" s="10" t="s">
        <v>969</v>
      </c>
      <c r="Y42" s="10" t="s">
        <v>32</v>
      </c>
      <c r="Z42" s="10" t="str">
        <f>_xlfn.DISPIMG("ID_C7300ADB77854BF0A4F7CC95C96356A5",1)</f>
        <v>=DISPIMG("ID_C7300ADB77854BF0A4F7CC95C96356A5",1)</v>
      </c>
      <c r="AA42" s="10" t="s">
        <v>34</v>
      </c>
      <c r="AB42" s="10" t="s">
        <v>56</v>
      </c>
      <c r="AC42" s="10" t="s">
        <v>970</v>
      </c>
    </row>
    <row r="43" s="2" customFormat="1" ht="105.7" hidden="1" spans="1:29">
      <c r="A43" s="10" t="s">
        <v>913</v>
      </c>
      <c r="B43" s="11" t="s">
        <v>53</v>
      </c>
      <c r="C43" s="10" t="s">
        <v>922</v>
      </c>
      <c r="D43" s="10" t="s">
        <v>965</v>
      </c>
      <c r="E43" s="10"/>
      <c r="F43" s="12"/>
      <c r="G43" s="13"/>
      <c r="H43" s="15"/>
      <c r="I43" s="10"/>
      <c r="J43" s="10"/>
      <c r="K43" s="10"/>
      <c r="L43" s="10"/>
      <c r="M43" s="10"/>
      <c r="N43" s="10"/>
      <c r="O43" s="10"/>
      <c r="P43" s="10"/>
      <c r="Q43" s="10"/>
      <c r="R43" s="10"/>
      <c r="S43" s="10" t="s">
        <v>971</v>
      </c>
      <c r="T43" s="10" t="s">
        <v>32</v>
      </c>
      <c r="U43" s="10" t="s">
        <v>971</v>
      </c>
      <c r="V43" s="50" t="s">
        <v>33</v>
      </c>
      <c r="W43" s="23"/>
      <c r="X43" s="10" t="s">
        <v>971</v>
      </c>
      <c r="Y43" s="10" t="s">
        <v>32</v>
      </c>
      <c r="Z43" s="10" t="str">
        <f>_xlfn.DISPIMG("ID_AE57696632F04FDCA35349985B3D05F0",1)</f>
        <v>=DISPIMG("ID_AE57696632F04FDCA35349985B3D05F0",1)</v>
      </c>
      <c r="AA43" s="10" t="s">
        <v>34</v>
      </c>
      <c r="AB43" s="10" t="s">
        <v>56</v>
      </c>
      <c r="AC43" s="10" t="s">
        <v>972</v>
      </c>
    </row>
    <row r="44" s="2" customFormat="1" ht="105.6" hidden="1" spans="1:29">
      <c r="A44" s="10" t="s">
        <v>913</v>
      </c>
      <c r="B44" s="11" t="s">
        <v>53</v>
      </c>
      <c r="C44" s="10" t="s">
        <v>922</v>
      </c>
      <c r="D44" s="10" t="s">
        <v>965</v>
      </c>
      <c r="E44" s="10"/>
      <c r="F44" s="12"/>
      <c r="G44" s="13"/>
      <c r="H44" s="15"/>
      <c r="I44" s="10"/>
      <c r="J44" s="10"/>
      <c r="K44" s="10"/>
      <c r="L44" s="10"/>
      <c r="M44" s="10"/>
      <c r="N44" s="10"/>
      <c r="O44" s="10"/>
      <c r="P44" s="10"/>
      <c r="Q44" s="10"/>
      <c r="R44" s="10"/>
      <c r="S44" s="10" t="s">
        <v>973</v>
      </c>
      <c r="T44" s="10" t="s">
        <v>32</v>
      </c>
      <c r="U44" s="10" t="s">
        <v>973</v>
      </c>
      <c r="V44" s="50" t="s">
        <v>33</v>
      </c>
      <c r="W44" s="23"/>
      <c r="X44" s="10" t="s">
        <v>973</v>
      </c>
      <c r="Y44" s="10" t="s">
        <v>32</v>
      </c>
      <c r="Z44" s="10" t="str">
        <f>_xlfn.DISPIMG("ID_7A83985FC3204474A0580C8E81AD1F22",1)</f>
        <v>=DISPIMG("ID_7A83985FC3204474A0580C8E81AD1F22",1)</v>
      </c>
      <c r="AA44" s="10" t="s">
        <v>34</v>
      </c>
      <c r="AB44" s="10" t="s">
        <v>56</v>
      </c>
      <c r="AC44" s="10" t="s">
        <v>974</v>
      </c>
    </row>
    <row r="45" s="2" customFormat="1" ht="104.8" hidden="1" spans="1:29">
      <c r="A45" s="10" t="s">
        <v>913</v>
      </c>
      <c r="B45" s="11" t="s">
        <v>53</v>
      </c>
      <c r="C45" s="10" t="s">
        <v>922</v>
      </c>
      <c r="D45" s="10" t="s">
        <v>965</v>
      </c>
      <c r="E45" s="10"/>
      <c r="F45" s="12"/>
      <c r="G45" s="13"/>
      <c r="H45" s="15"/>
      <c r="I45" s="10"/>
      <c r="J45" s="10"/>
      <c r="K45" s="10"/>
      <c r="L45" s="10"/>
      <c r="M45" s="10"/>
      <c r="N45" s="10"/>
      <c r="O45" s="10"/>
      <c r="P45" s="10"/>
      <c r="Q45" s="10"/>
      <c r="R45" s="10"/>
      <c r="S45" s="10" t="s">
        <v>975</v>
      </c>
      <c r="T45" s="10" t="s">
        <v>32</v>
      </c>
      <c r="U45" s="10" t="s">
        <v>975</v>
      </c>
      <c r="V45" s="50" t="s">
        <v>33</v>
      </c>
      <c r="W45" s="23"/>
      <c r="X45" s="10" t="s">
        <v>975</v>
      </c>
      <c r="Y45" s="10" t="s">
        <v>32</v>
      </c>
      <c r="Z45" s="10" t="str">
        <f>_xlfn.DISPIMG("ID_1668846106224B288621561AC7539570",1)</f>
        <v>=DISPIMG("ID_1668846106224B288621561AC7539570",1)</v>
      </c>
      <c r="AA45" s="10" t="s">
        <v>34</v>
      </c>
      <c r="AB45" s="10" t="s">
        <v>56</v>
      </c>
      <c r="AC45" s="10" t="s">
        <v>945</v>
      </c>
    </row>
    <row r="46" s="2" customFormat="1" ht="107.65" hidden="1" spans="1:29">
      <c r="A46" s="10" t="s">
        <v>913</v>
      </c>
      <c r="B46" s="11" t="s">
        <v>53</v>
      </c>
      <c r="C46" s="10" t="s">
        <v>922</v>
      </c>
      <c r="D46" s="10" t="s">
        <v>965</v>
      </c>
      <c r="E46" s="10"/>
      <c r="F46" s="12"/>
      <c r="G46" s="13"/>
      <c r="H46" s="15"/>
      <c r="I46" s="10"/>
      <c r="J46" s="10"/>
      <c r="K46" s="10"/>
      <c r="L46" s="10"/>
      <c r="M46" s="10"/>
      <c r="N46" s="10"/>
      <c r="O46" s="10"/>
      <c r="P46" s="10"/>
      <c r="Q46" s="10"/>
      <c r="R46" s="10"/>
      <c r="S46" s="10" t="s">
        <v>976</v>
      </c>
      <c r="T46" s="10" t="s">
        <v>32</v>
      </c>
      <c r="U46" s="10" t="s">
        <v>976</v>
      </c>
      <c r="V46" s="50" t="s">
        <v>33</v>
      </c>
      <c r="W46" s="23"/>
      <c r="X46" s="10" t="s">
        <v>976</v>
      </c>
      <c r="Y46" s="10" t="s">
        <v>32</v>
      </c>
      <c r="Z46" s="10" t="str">
        <f>_xlfn.DISPIMG("ID_FA97C791F9384958A4E86E5A53DFCE0A",1)</f>
        <v>=DISPIMG("ID_FA97C791F9384958A4E86E5A53DFCE0A",1)</v>
      </c>
      <c r="AA46" s="10" t="s">
        <v>34</v>
      </c>
      <c r="AB46" s="10" t="s">
        <v>56</v>
      </c>
      <c r="AC46" s="10" t="s">
        <v>945</v>
      </c>
    </row>
    <row r="47" s="2" customFormat="1" ht="90.85" hidden="1" spans="1:29">
      <c r="A47" s="10" t="s">
        <v>913</v>
      </c>
      <c r="B47" s="11" t="s">
        <v>53</v>
      </c>
      <c r="C47" s="10" t="s">
        <v>922</v>
      </c>
      <c r="D47" s="10" t="s">
        <v>965</v>
      </c>
      <c r="E47" s="10"/>
      <c r="F47" s="12"/>
      <c r="G47" s="13"/>
      <c r="H47" s="15"/>
      <c r="I47" s="10"/>
      <c r="J47" s="10"/>
      <c r="K47" s="10"/>
      <c r="L47" s="10"/>
      <c r="M47" s="10"/>
      <c r="N47" s="10"/>
      <c r="O47" s="10"/>
      <c r="P47" s="10"/>
      <c r="Q47" s="10"/>
      <c r="R47" s="10"/>
      <c r="S47" s="10" t="s">
        <v>977</v>
      </c>
      <c r="T47" s="10" t="s">
        <v>68</v>
      </c>
      <c r="U47" s="10" t="s">
        <v>977</v>
      </c>
      <c r="V47" s="50" t="s">
        <v>33</v>
      </c>
      <c r="W47" s="23"/>
      <c r="X47" s="10" t="s">
        <v>977</v>
      </c>
      <c r="Y47" s="10" t="s">
        <v>68</v>
      </c>
      <c r="Z47" s="10" t="str">
        <f>_xlfn.DISPIMG("ID_964B63CDE36B4CC9BADF253D7EB0E314",1)</f>
        <v>=DISPIMG("ID_964B63CDE36B4CC9BADF253D7EB0E314",1)</v>
      </c>
      <c r="AA47" s="10" t="s">
        <v>34</v>
      </c>
      <c r="AB47" s="10" t="s">
        <v>978</v>
      </c>
      <c r="AC47" s="10" t="s">
        <v>967</v>
      </c>
    </row>
    <row r="48" s="2" customFormat="1" ht="109.3" hidden="1" spans="1:29">
      <c r="A48" s="10" t="s">
        <v>913</v>
      </c>
      <c r="B48" s="11" t="s">
        <v>53</v>
      </c>
      <c r="C48" s="10" t="s">
        <v>922</v>
      </c>
      <c r="D48" s="10" t="s">
        <v>965</v>
      </c>
      <c r="E48" s="10"/>
      <c r="F48" s="12"/>
      <c r="G48" s="13"/>
      <c r="H48" s="15"/>
      <c r="I48" s="10"/>
      <c r="J48" s="10"/>
      <c r="K48" s="10"/>
      <c r="L48" s="10"/>
      <c r="M48" s="10"/>
      <c r="N48" s="10"/>
      <c r="O48" s="10"/>
      <c r="P48" s="10"/>
      <c r="Q48" s="10"/>
      <c r="R48" s="10"/>
      <c r="S48" s="10" t="s">
        <v>979</v>
      </c>
      <c r="T48" s="10" t="s">
        <v>32</v>
      </c>
      <c r="U48" s="10" t="s">
        <v>979</v>
      </c>
      <c r="V48" s="50" t="s">
        <v>33</v>
      </c>
      <c r="W48" s="23"/>
      <c r="X48" s="10" t="s">
        <v>979</v>
      </c>
      <c r="Y48" s="10" t="s">
        <v>32</v>
      </c>
      <c r="Z48" s="10" t="str">
        <f>_xlfn.DISPIMG("ID_CA823D10D3B8408FA67EE1B6BA717C57",1)</f>
        <v>=DISPIMG("ID_CA823D10D3B8408FA67EE1B6BA717C57",1)</v>
      </c>
      <c r="AA48" s="10" t="s">
        <v>34</v>
      </c>
      <c r="AB48" s="10" t="s">
        <v>56</v>
      </c>
      <c r="AC48" s="10" t="s">
        <v>980</v>
      </c>
    </row>
    <row r="49" s="2" customFormat="1" ht="165" hidden="1" spans="1:29">
      <c r="A49" s="10" t="s">
        <v>913</v>
      </c>
      <c r="B49" s="11" t="s">
        <v>53</v>
      </c>
      <c r="C49" s="10" t="s">
        <v>922</v>
      </c>
      <c r="D49" s="10" t="s">
        <v>965</v>
      </c>
      <c r="E49" s="10"/>
      <c r="F49" s="12"/>
      <c r="G49" s="13"/>
      <c r="H49" s="15"/>
      <c r="I49" s="10"/>
      <c r="J49" s="10"/>
      <c r="K49" s="10"/>
      <c r="L49" s="10"/>
      <c r="M49" s="10"/>
      <c r="N49" s="10"/>
      <c r="O49" s="10"/>
      <c r="P49" s="10"/>
      <c r="Q49" s="10"/>
      <c r="R49" s="10"/>
      <c r="S49" s="10" t="s">
        <v>981</v>
      </c>
      <c r="T49" s="10" t="s">
        <v>68</v>
      </c>
      <c r="U49" s="10" t="s">
        <v>982</v>
      </c>
      <c r="V49" s="50" t="s">
        <v>33</v>
      </c>
      <c r="W49" s="23"/>
      <c r="X49" s="10" t="s">
        <v>981</v>
      </c>
      <c r="Y49" s="10" t="s">
        <v>68</v>
      </c>
      <c r="Z49" s="10" t="str">
        <f>_xlfn.DISPIMG("ID_7F6E79FDC78041C8AE9D4ADA27BBF599",1)</f>
        <v>=DISPIMG("ID_7F6E79FDC78041C8AE9D4ADA27BBF599",1)</v>
      </c>
      <c r="AA49" s="10" t="s">
        <v>34</v>
      </c>
      <c r="AB49" s="10" t="s">
        <v>983</v>
      </c>
      <c r="AC49" s="10" t="s">
        <v>980</v>
      </c>
    </row>
    <row r="50" s="2" customFormat="1" ht="107.7" hidden="1" spans="1:29">
      <c r="A50" s="10" t="s">
        <v>913</v>
      </c>
      <c r="B50" s="11" t="s">
        <v>53</v>
      </c>
      <c r="C50" s="10" t="s">
        <v>922</v>
      </c>
      <c r="D50" s="10" t="s">
        <v>965</v>
      </c>
      <c r="E50" s="10"/>
      <c r="F50" s="12"/>
      <c r="G50" s="13"/>
      <c r="H50" s="15"/>
      <c r="I50" s="10"/>
      <c r="J50" s="10"/>
      <c r="K50" s="10"/>
      <c r="L50" s="10"/>
      <c r="M50" s="10"/>
      <c r="N50" s="10"/>
      <c r="O50" s="10"/>
      <c r="P50" s="10"/>
      <c r="Q50" s="10"/>
      <c r="R50" s="10"/>
      <c r="S50" s="10" t="s">
        <v>984</v>
      </c>
      <c r="T50" s="10" t="s">
        <v>32</v>
      </c>
      <c r="U50" s="10" t="s">
        <v>984</v>
      </c>
      <c r="V50" s="50" t="s">
        <v>33</v>
      </c>
      <c r="W50" s="23"/>
      <c r="X50" s="10" t="s">
        <v>984</v>
      </c>
      <c r="Y50" s="10" t="s">
        <v>32</v>
      </c>
      <c r="Z50" s="10" t="str">
        <f>_xlfn.DISPIMG("ID_7CB083882A4A4FA6B86F202E8235347D",1)</f>
        <v>=DISPIMG("ID_7CB083882A4A4FA6B86F202E8235347D",1)</v>
      </c>
      <c r="AA50" s="10" t="s">
        <v>34</v>
      </c>
      <c r="AB50" s="10" t="s">
        <v>56</v>
      </c>
      <c r="AC50" s="10" t="s">
        <v>985</v>
      </c>
    </row>
    <row r="51" s="2" customFormat="1" ht="82.5" hidden="1" spans="1:29">
      <c r="A51" s="10" t="s">
        <v>913</v>
      </c>
      <c r="B51" s="11" t="s">
        <v>53</v>
      </c>
      <c r="C51" s="10" t="s">
        <v>922</v>
      </c>
      <c r="D51" s="10" t="s">
        <v>965</v>
      </c>
      <c r="E51" s="10"/>
      <c r="F51" s="12"/>
      <c r="G51" s="13"/>
      <c r="H51" s="15"/>
      <c r="I51" s="10"/>
      <c r="J51" s="10"/>
      <c r="K51" s="10"/>
      <c r="L51" s="10"/>
      <c r="M51" s="10"/>
      <c r="N51" s="10"/>
      <c r="O51" s="10"/>
      <c r="P51" s="10"/>
      <c r="Q51" s="10"/>
      <c r="R51" s="10"/>
      <c r="S51" s="10" t="s">
        <v>986</v>
      </c>
      <c r="T51" s="10" t="s">
        <v>68</v>
      </c>
      <c r="U51" s="10" t="s">
        <v>987</v>
      </c>
      <c r="V51" s="50" t="s">
        <v>33</v>
      </c>
      <c r="W51" s="23"/>
      <c r="X51" s="10" t="s">
        <v>986</v>
      </c>
      <c r="Y51" s="10" t="s">
        <v>68</v>
      </c>
      <c r="Z51" s="10" t="str">
        <f>_xlfn.DISPIMG("ID_12047C022D584F64BFF7E48849399A4C",1)</f>
        <v>=DISPIMG("ID_12047C022D584F64BFF7E48849399A4C",1)</v>
      </c>
      <c r="AA51" s="10" t="s">
        <v>34</v>
      </c>
      <c r="AB51" s="10" t="s">
        <v>988</v>
      </c>
      <c r="AC51" s="10" t="s">
        <v>985</v>
      </c>
    </row>
    <row r="52" s="2" customFormat="1" ht="108.75" hidden="1" spans="1:29">
      <c r="A52" s="10" t="s">
        <v>913</v>
      </c>
      <c r="B52" s="11" t="s">
        <v>53</v>
      </c>
      <c r="C52" s="10" t="s">
        <v>922</v>
      </c>
      <c r="D52" s="10" t="s">
        <v>965</v>
      </c>
      <c r="E52" s="10"/>
      <c r="F52" s="12"/>
      <c r="G52" s="13"/>
      <c r="H52" s="15"/>
      <c r="I52" s="10"/>
      <c r="J52" s="10"/>
      <c r="K52" s="10"/>
      <c r="L52" s="10"/>
      <c r="M52" s="10"/>
      <c r="N52" s="10"/>
      <c r="O52" s="10"/>
      <c r="P52" s="10"/>
      <c r="Q52" s="10"/>
      <c r="R52" s="10"/>
      <c r="S52" s="10" t="s">
        <v>989</v>
      </c>
      <c r="T52" s="10" t="s">
        <v>32</v>
      </c>
      <c r="U52" s="10" t="s">
        <v>989</v>
      </c>
      <c r="V52" s="50" t="s">
        <v>33</v>
      </c>
      <c r="W52" s="23"/>
      <c r="X52" s="10" t="s">
        <v>989</v>
      </c>
      <c r="Y52" s="10" t="s">
        <v>32</v>
      </c>
      <c r="Z52" s="10" t="str">
        <f>_xlfn.DISPIMG("ID_012486B88A694FE5863ACA3DD70799DF",1)</f>
        <v>=DISPIMG("ID_012486B88A694FE5863ACA3DD70799DF",1)</v>
      </c>
      <c r="AA52" s="10" t="s">
        <v>34</v>
      </c>
      <c r="AB52" s="10" t="s">
        <v>56</v>
      </c>
      <c r="AC52" s="10" t="s">
        <v>990</v>
      </c>
    </row>
    <row r="53" s="2" customFormat="1" ht="66" hidden="1" spans="1:29">
      <c r="A53" s="10" t="s">
        <v>913</v>
      </c>
      <c r="B53" s="11" t="s">
        <v>53</v>
      </c>
      <c r="C53" s="10" t="s">
        <v>922</v>
      </c>
      <c r="D53" s="10" t="s">
        <v>965</v>
      </c>
      <c r="E53" s="10"/>
      <c r="F53" s="12"/>
      <c r="G53" s="13"/>
      <c r="H53" s="15"/>
      <c r="I53" s="10"/>
      <c r="J53" s="10"/>
      <c r="K53" s="10"/>
      <c r="L53" s="10"/>
      <c r="M53" s="10"/>
      <c r="N53" s="10"/>
      <c r="O53" s="10"/>
      <c r="P53" s="10"/>
      <c r="Q53" s="10"/>
      <c r="R53" s="10"/>
      <c r="S53" s="10" t="s">
        <v>991</v>
      </c>
      <c r="T53" s="10" t="s">
        <v>68</v>
      </c>
      <c r="U53" s="10" t="s">
        <v>992</v>
      </c>
      <c r="V53" s="50" t="s">
        <v>33</v>
      </c>
      <c r="W53" s="23"/>
      <c r="X53" s="10" t="s">
        <v>991</v>
      </c>
      <c r="Y53" s="10" t="s">
        <v>68</v>
      </c>
      <c r="Z53" s="10" t="str">
        <f>_xlfn.DISPIMG("ID_D1E8FE0EC9324C80AFF6B20435DDE62E",1)</f>
        <v>=DISPIMG("ID_D1E8FE0EC9324C80AFF6B20435DDE62E",1)</v>
      </c>
      <c r="AA53" s="10" t="s">
        <v>34</v>
      </c>
      <c r="AB53" s="10" t="s">
        <v>993</v>
      </c>
      <c r="AC53" s="10" t="s">
        <v>990</v>
      </c>
    </row>
    <row r="54" s="2" customFormat="1" ht="110.8" hidden="1" spans="1:29">
      <c r="A54" s="10" t="s">
        <v>913</v>
      </c>
      <c r="B54" s="11" t="s">
        <v>53</v>
      </c>
      <c r="C54" s="10" t="s">
        <v>922</v>
      </c>
      <c r="D54" s="10" t="s">
        <v>965</v>
      </c>
      <c r="E54" s="10"/>
      <c r="F54" s="12"/>
      <c r="G54" s="13"/>
      <c r="H54" s="15"/>
      <c r="I54" s="10"/>
      <c r="J54" s="10"/>
      <c r="K54" s="10"/>
      <c r="L54" s="10"/>
      <c r="M54" s="10"/>
      <c r="N54" s="10"/>
      <c r="O54" s="10"/>
      <c r="P54" s="10"/>
      <c r="Q54" s="10"/>
      <c r="R54" s="10"/>
      <c r="S54" s="10" t="s">
        <v>994</v>
      </c>
      <c r="T54" s="10" t="s">
        <v>32</v>
      </c>
      <c r="U54" s="10" t="s">
        <v>994</v>
      </c>
      <c r="V54" s="50" t="s">
        <v>33</v>
      </c>
      <c r="W54" s="23"/>
      <c r="X54" s="10" t="s">
        <v>994</v>
      </c>
      <c r="Y54" s="10" t="s">
        <v>32</v>
      </c>
      <c r="Z54" s="10" t="str">
        <f>_xlfn.DISPIMG("ID_4AB5C043BD3840E3AB7235584F021FA0",1)</f>
        <v>=DISPIMG("ID_4AB5C043BD3840E3AB7235584F021FA0",1)</v>
      </c>
      <c r="AA54" s="10" t="s">
        <v>34</v>
      </c>
      <c r="AB54" s="10" t="s">
        <v>56</v>
      </c>
      <c r="AC54" s="10" t="s">
        <v>995</v>
      </c>
    </row>
    <row r="55" s="2" customFormat="1" ht="82.5" hidden="1" spans="1:29">
      <c r="A55" s="10" t="s">
        <v>913</v>
      </c>
      <c r="B55" s="11" t="s">
        <v>53</v>
      </c>
      <c r="C55" s="10" t="s">
        <v>922</v>
      </c>
      <c r="D55" s="10" t="s">
        <v>965</v>
      </c>
      <c r="E55" s="10"/>
      <c r="F55" s="12"/>
      <c r="G55" s="13"/>
      <c r="H55" s="15"/>
      <c r="I55" s="10"/>
      <c r="J55" s="10"/>
      <c r="K55" s="10"/>
      <c r="L55" s="10"/>
      <c r="M55" s="10"/>
      <c r="N55" s="10"/>
      <c r="O55" s="10"/>
      <c r="P55" s="10"/>
      <c r="Q55" s="10"/>
      <c r="R55" s="10"/>
      <c r="S55" s="10" t="s">
        <v>996</v>
      </c>
      <c r="T55" s="10" t="s">
        <v>68</v>
      </c>
      <c r="U55" s="10" t="s">
        <v>997</v>
      </c>
      <c r="V55" s="50" t="s">
        <v>33</v>
      </c>
      <c r="W55" s="23"/>
      <c r="X55" s="10" t="s">
        <v>996</v>
      </c>
      <c r="Y55" s="10" t="s">
        <v>68</v>
      </c>
      <c r="Z55" s="10" t="str">
        <f>_xlfn.DISPIMG("ID_48C9C8126E5D434B98B8F70404DB9A8E",1)</f>
        <v>=DISPIMG("ID_48C9C8126E5D434B98B8F70404DB9A8E",1)</v>
      </c>
      <c r="AA55" s="10" t="s">
        <v>34</v>
      </c>
      <c r="AB55" s="10" t="s">
        <v>998</v>
      </c>
      <c r="AC55" s="10" t="s">
        <v>999</v>
      </c>
    </row>
    <row r="56" s="2" customFormat="1" ht="181.5" hidden="1" spans="1:29">
      <c r="A56" s="10" t="s">
        <v>913</v>
      </c>
      <c r="B56" s="11" t="s">
        <v>53</v>
      </c>
      <c r="C56" s="10" t="s">
        <v>922</v>
      </c>
      <c r="D56" s="10" t="s">
        <v>965</v>
      </c>
      <c r="E56" s="10"/>
      <c r="F56" s="12"/>
      <c r="G56" s="13"/>
      <c r="H56" s="15"/>
      <c r="I56" s="10"/>
      <c r="J56" s="10"/>
      <c r="K56" s="10"/>
      <c r="L56" s="10"/>
      <c r="M56" s="10"/>
      <c r="N56" s="10"/>
      <c r="O56" s="10"/>
      <c r="P56" s="10"/>
      <c r="Q56" s="10"/>
      <c r="R56" s="10"/>
      <c r="S56" s="10" t="s">
        <v>1000</v>
      </c>
      <c r="T56" s="10" t="s">
        <v>68</v>
      </c>
      <c r="U56" s="10" t="s">
        <v>1001</v>
      </c>
      <c r="V56" s="50" t="s">
        <v>33</v>
      </c>
      <c r="W56" s="23"/>
      <c r="X56" s="10" t="s">
        <v>1000</v>
      </c>
      <c r="Y56" s="10" t="s">
        <v>68</v>
      </c>
      <c r="Z56" s="10" t="str">
        <f>_xlfn.DISPIMG("ID_45B753880D98434B9617BFD65406FE2C",1)</f>
        <v>=DISPIMG("ID_45B753880D98434B9617BFD65406FE2C",1)</v>
      </c>
      <c r="AA56" s="10" t="s">
        <v>34</v>
      </c>
      <c r="AB56" s="10" t="s">
        <v>1002</v>
      </c>
      <c r="AC56" s="10" t="s">
        <v>1003</v>
      </c>
    </row>
    <row r="57" s="2" customFormat="1" ht="181.5" hidden="1" spans="1:29">
      <c r="A57" s="10" t="s">
        <v>913</v>
      </c>
      <c r="B57" s="11" t="s">
        <v>53</v>
      </c>
      <c r="C57" s="10" t="s">
        <v>922</v>
      </c>
      <c r="D57" s="10" t="s">
        <v>965</v>
      </c>
      <c r="E57" s="10"/>
      <c r="F57" s="12"/>
      <c r="G57" s="13"/>
      <c r="H57" s="15"/>
      <c r="I57" s="10"/>
      <c r="J57" s="10"/>
      <c r="K57" s="10"/>
      <c r="L57" s="10"/>
      <c r="M57" s="10"/>
      <c r="N57" s="10"/>
      <c r="O57" s="10"/>
      <c r="P57" s="10"/>
      <c r="Q57" s="10"/>
      <c r="R57" s="10"/>
      <c r="S57" s="10" t="s">
        <v>1004</v>
      </c>
      <c r="T57" s="10" t="s">
        <v>68</v>
      </c>
      <c r="U57" s="10" t="s">
        <v>1005</v>
      </c>
      <c r="V57" s="50" t="s">
        <v>33</v>
      </c>
      <c r="W57" s="23"/>
      <c r="X57" s="10" t="s">
        <v>1004</v>
      </c>
      <c r="Y57" s="10" t="s">
        <v>68</v>
      </c>
      <c r="Z57" s="10"/>
      <c r="AA57" s="10" t="s">
        <v>34</v>
      </c>
      <c r="AB57" s="10" t="s">
        <v>1006</v>
      </c>
      <c r="AC57" s="10" t="s">
        <v>1007</v>
      </c>
    </row>
    <row r="58" s="2" customFormat="1" ht="109.45" hidden="1" spans="1:29">
      <c r="A58" s="10" t="s">
        <v>913</v>
      </c>
      <c r="B58" s="11" t="s">
        <v>53</v>
      </c>
      <c r="C58" s="10" t="s">
        <v>922</v>
      </c>
      <c r="D58" s="10" t="s">
        <v>965</v>
      </c>
      <c r="E58" s="10"/>
      <c r="F58" s="12"/>
      <c r="G58" s="13"/>
      <c r="H58" s="15"/>
      <c r="I58" s="10"/>
      <c r="J58" s="10"/>
      <c r="K58" s="10"/>
      <c r="L58" s="10"/>
      <c r="M58" s="10"/>
      <c r="N58" s="10"/>
      <c r="O58" s="10"/>
      <c r="P58" s="10"/>
      <c r="Q58" s="10"/>
      <c r="R58" s="10"/>
      <c r="S58" s="10" t="s">
        <v>1008</v>
      </c>
      <c r="T58" s="10" t="s">
        <v>32</v>
      </c>
      <c r="U58" s="10" t="s">
        <v>1008</v>
      </c>
      <c r="V58" s="50" t="s">
        <v>33</v>
      </c>
      <c r="W58" s="23"/>
      <c r="X58" s="10" t="s">
        <v>1008</v>
      </c>
      <c r="Y58" s="10" t="s">
        <v>32</v>
      </c>
      <c r="Z58" s="10" t="str">
        <f>_xlfn.DISPIMG("ID_6CF0750EE504457D9031CA35C0C7234B",1)</f>
        <v>=DISPIMG("ID_6CF0750EE504457D9031CA35C0C7234B",1)</v>
      </c>
      <c r="AA58" s="10" t="s">
        <v>34</v>
      </c>
      <c r="AB58" s="10" t="s">
        <v>56</v>
      </c>
      <c r="AC58" s="10" t="s">
        <v>945</v>
      </c>
    </row>
    <row r="59" s="2" customFormat="1" ht="110.25" hidden="1" spans="1:29">
      <c r="A59" s="10" t="s">
        <v>913</v>
      </c>
      <c r="B59" s="11" t="s">
        <v>53</v>
      </c>
      <c r="C59" s="10" t="s">
        <v>922</v>
      </c>
      <c r="D59" s="10" t="s">
        <v>965</v>
      </c>
      <c r="E59" s="10"/>
      <c r="F59" s="12"/>
      <c r="G59" s="13"/>
      <c r="H59" s="15"/>
      <c r="I59" s="10"/>
      <c r="J59" s="10"/>
      <c r="K59" s="10"/>
      <c r="L59" s="10"/>
      <c r="M59" s="10"/>
      <c r="N59" s="10"/>
      <c r="O59" s="10"/>
      <c r="P59" s="10"/>
      <c r="Q59" s="10"/>
      <c r="R59" s="10"/>
      <c r="S59" s="10" t="s">
        <v>1009</v>
      </c>
      <c r="T59" s="10" t="s">
        <v>32</v>
      </c>
      <c r="U59" s="10" t="s">
        <v>1009</v>
      </c>
      <c r="V59" s="50" t="s">
        <v>33</v>
      </c>
      <c r="W59" s="23"/>
      <c r="X59" s="10" t="s">
        <v>1009</v>
      </c>
      <c r="Y59" s="10" t="s">
        <v>32</v>
      </c>
      <c r="Z59" s="10" t="str">
        <f>_xlfn.DISPIMG("ID_AA2B1288CB5C45BFBDD8B2EF70E715F4",1)</f>
        <v>=DISPIMG("ID_AA2B1288CB5C45BFBDD8B2EF70E715F4",1)</v>
      </c>
      <c r="AA59" s="10" t="s">
        <v>34</v>
      </c>
      <c r="AB59" s="10" t="s">
        <v>56</v>
      </c>
      <c r="AC59" s="10" t="s">
        <v>945</v>
      </c>
    </row>
    <row r="60" s="2" customFormat="1" ht="181.5" hidden="1" spans="1:29">
      <c r="A60" s="10" t="s">
        <v>913</v>
      </c>
      <c r="B60" s="11" t="s">
        <v>53</v>
      </c>
      <c r="C60" s="10" t="s">
        <v>922</v>
      </c>
      <c r="D60" s="10" t="s">
        <v>965</v>
      </c>
      <c r="E60" s="10"/>
      <c r="F60" s="12"/>
      <c r="G60" s="13"/>
      <c r="H60" s="15"/>
      <c r="I60" s="10"/>
      <c r="J60" s="10"/>
      <c r="K60" s="10"/>
      <c r="L60" s="10"/>
      <c r="M60" s="10"/>
      <c r="N60" s="10"/>
      <c r="O60" s="10"/>
      <c r="P60" s="10"/>
      <c r="Q60" s="10"/>
      <c r="R60" s="10"/>
      <c r="S60" s="10" t="s">
        <v>1010</v>
      </c>
      <c r="T60" s="10" t="s">
        <v>68</v>
      </c>
      <c r="U60" s="10" t="s">
        <v>1011</v>
      </c>
      <c r="V60" s="50" t="s">
        <v>33</v>
      </c>
      <c r="W60" s="23"/>
      <c r="X60" s="10" t="s">
        <v>1010</v>
      </c>
      <c r="Y60" s="10" t="s">
        <v>68</v>
      </c>
      <c r="Z60" s="10" t="str">
        <f>_xlfn.DISPIMG("ID_1BF71DB5B7994379B3F096E0D10EC04F",1)</f>
        <v>=DISPIMG("ID_1BF71DB5B7994379B3F096E0D10EC04F",1)</v>
      </c>
      <c r="AA60" s="10" t="s">
        <v>34</v>
      </c>
      <c r="AB60" s="10" t="s">
        <v>1012</v>
      </c>
      <c r="AC60" s="10" t="s">
        <v>945</v>
      </c>
    </row>
    <row r="61" s="2" customFormat="1" ht="66" hidden="1" spans="1:29">
      <c r="A61" s="10" t="s">
        <v>913</v>
      </c>
      <c r="B61" s="11" t="s">
        <v>53</v>
      </c>
      <c r="C61" s="10" t="s">
        <v>922</v>
      </c>
      <c r="D61" s="10" t="s">
        <v>965</v>
      </c>
      <c r="E61" s="10"/>
      <c r="F61" s="12"/>
      <c r="G61" s="13"/>
      <c r="H61" s="15"/>
      <c r="I61" s="10"/>
      <c r="J61" s="10"/>
      <c r="K61" s="10"/>
      <c r="L61" s="10"/>
      <c r="M61" s="10"/>
      <c r="N61" s="10"/>
      <c r="O61" s="10"/>
      <c r="P61" s="10"/>
      <c r="Q61" s="10"/>
      <c r="R61" s="10"/>
      <c r="S61" s="10" t="s">
        <v>1013</v>
      </c>
      <c r="T61" s="10" t="s">
        <v>68</v>
      </c>
      <c r="U61" s="10" t="s">
        <v>1014</v>
      </c>
      <c r="V61" s="50" t="s">
        <v>33</v>
      </c>
      <c r="W61" s="23"/>
      <c r="X61" s="10" t="s">
        <v>1013</v>
      </c>
      <c r="Y61" s="10" t="s">
        <v>68</v>
      </c>
      <c r="Z61" s="10" t="str">
        <f>_xlfn.DISPIMG("ID_12C2259ADCDA4577A89C569651688948",1)</f>
        <v>=DISPIMG("ID_12C2259ADCDA4577A89C569651688948",1)</v>
      </c>
      <c r="AA61" s="10" t="s">
        <v>34</v>
      </c>
      <c r="AB61" s="10" t="s">
        <v>1015</v>
      </c>
      <c r="AC61" s="10" t="s">
        <v>945</v>
      </c>
    </row>
    <row r="62" s="2" customFormat="1" ht="99" hidden="1" spans="1:29">
      <c r="A62" s="10" t="s">
        <v>913</v>
      </c>
      <c r="B62" s="11" t="s">
        <v>53</v>
      </c>
      <c r="C62" s="10" t="s">
        <v>922</v>
      </c>
      <c r="D62" s="10" t="s">
        <v>965</v>
      </c>
      <c r="E62" s="10"/>
      <c r="F62" s="12"/>
      <c r="G62" s="13"/>
      <c r="H62" s="15"/>
      <c r="I62" s="10"/>
      <c r="J62" s="10"/>
      <c r="K62" s="10"/>
      <c r="L62" s="10"/>
      <c r="M62" s="10"/>
      <c r="N62" s="10"/>
      <c r="O62" s="10"/>
      <c r="P62" s="10"/>
      <c r="Q62" s="10"/>
      <c r="R62" s="10"/>
      <c r="S62" s="10" t="s">
        <v>1016</v>
      </c>
      <c r="T62" s="10" t="s">
        <v>68</v>
      </c>
      <c r="U62" s="10" t="s">
        <v>1017</v>
      </c>
      <c r="V62" s="50" t="s">
        <v>33</v>
      </c>
      <c r="W62" s="23"/>
      <c r="X62" s="10" t="s">
        <v>1016</v>
      </c>
      <c r="Y62" s="10" t="s">
        <v>68</v>
      </c>
      <c r="Z62" s="10" t="str">
        <f>_xlfn.DISPIMG("ID_2442E82D76564891A43D5386B307201E",1)</f>
        <v>=DISPIMG("ID_2442E82D76564891A43D5386B307201E",1)</v>
      </c>
      <c r="AA62" s="10" t="s">
        <v>34</v>
      </c>
      <c r="AB62" s="10" t="s">
        <v>1018</v>
      </c>
      <c r="AC62" s="10" t="s">
        <v>945</v>
      </c>
    </row>
    <row r="63" s="2" customFormat="1" ht="108.65" hidden="1" spans="1:29">
      <c r="A63" s="10" t="s">
        <v>913</v>
      </c>
      <c r="B63" s="11" t="s">
        <v>53</v>
      </c>
      <c r="C63" s="10" t="s">
        <v>922</v>
      </c>
      <c r="D63" s="10" t="s">
        <v>965</v>
      </c>
      <c r="E63" s="10"/>
      <c r="F63" s="12"/>
      <c r="G63" s="13"/>
      <c r="H63" s="15"/>
      <c r="I63" s="10"/>
      <c r="J63" s="10"/>
      <c r="K63" s="10"/>
      <c r="L63" s="10"/>
      <c r="M63" s="10"/>
      <c r="N63" s="10"/>
      <c r="O63" s="10"/>
      <c r="P63" s="10"/>
      <c r="Q63" s="10"/>
      <c r="R63" s="10"/>
      <c r="S63" s="10" t="s">
        <v>1019</v>
      </c>
      <c r="T63" s="10" t="s">
        <v>32</v>
      </c>
      <c r="U63" s="10" t="s">
        <v>1019</v>
      </c>
      <c r="V63" s="50" t="s">
        <v>33</v>
      </c>
      <c r="W63" s="23"/>
      <c r="X63" s="10" t="s">
        <v>1019</v>
      </c>
      <c r="Y63" s="10" t="s">
        <v>32</v>
      </c>
      <c r="Z63" s="10" t="str">
        <f>_xlfn.DISPIMG("ID_686A585DF1664D6F9BE7FBB98080130F",1)</f>
        <v>=DISPIMG("ID_686A585DF1664D6F9BE7FBB98080130F",1)</v>
      </c>
      <c r="AA63" s="10" t="s">
        <v>34</v>
      </c>
      <c r="AB63" s="10" t="s">
        <v>56</v>
      </c>
      <c r="AC63" s="10" t="s">
        <v>1020</v>
      </c>
    </row>
    <row r="64" s="2" customFormat="1" ht="66" hidden="1" spans="1:29">
      <c r="A64" s="10" t="s">
        <v>913</v>
      </c>
      <c r="B64" s="11" t="s">
        <v>53</v>
      </c>
      <c r="C64" s="10" t="s">
        <v>922</v>
      </c>
      <c r="D64" s="10" t="s">
        <v>965</v>
      </c>
      <c r="E64" s="10"/>
      <c r="F64" s="12"/>
      <c r="G64" s="13"/>
      <c r="H64" s="15"/>
      <c r="I64" s="10"/>
      <c r="J64" s="10"/>
      <c r="K64" s="10"/>
      <c r="L64" s="10"/>
      <c r="M64" s="10"/>
      <c r="N64" s="10"/>
      <c r="O64" s="10"/>
      <c r="P64" s="10"/>
      <c r="Q64" s="10"/>
      <c r="R64" s="10"/>
      <c r="S64" s="10" t="s">
        <v>1021</v>
      </c>
      <c r="T64" s="10" t="s">
        <v>68</v>
      </c>
      <c r="U64" s="10" t="s">
        <v>1022</v>
      </c>
      <c r="V64" s="50" t="s">
        <v>33</v>
      </c>
      <c r="W64" s="23"/>
      <c r="X64" s="10" t="s">
        <v>1021</v>
      </c>
      <c r="Y64" s="10" t="s">
        <v>68</v>
      </c>
      <c r="Z64" s="10" t="str">
        <f>_xlfn.DISPIMG("ID_80946248581145C4875C4E96CFF08C52",1)</f>
        <v>=DISPIMG("ID_80946248581145C4875C4E96CFF08C52",1)</v>
      </c>
      <c r="AA64" s="10" t="s">
        <v>34</v>
      </c>
      <c r="AB64" s="10" t="s">
        <v>1023</v>
      </c>
      <c r="AC64" s="10" t="s">
        <v>1020</v>
      </c>
    </row>
    <row r="65" s="2" customFormat="1" ht="107.4" hidden="1" spans="1:29">
      <c r="A65" s="10" t="s">
        <v>913</v>
      </c>
      <c r="B65" s="11" t="s">
        <v>53</v>
      </c>
      <c r="C65" s="10" t="s">
        <v>922</v>
      </c>
      <c r="D65" s="10" t="s">
        <v>965</v>
      </c>
      <c r="E65" s="10"/>
      <c r="F65" s="12"/>
      <c r="G65" s="13"/>
      <c r="H65" s="15"/>
      <c r="I65" s="10"/>
      <c r="J65" s="10"/>
      <c r="K65" s="10"/>
      <c r="L65" s="10"/>
      <c r="M65" s="10"/>
      <c r="N65" s="10"/>
      <c r="O65" s="10"/>
      <c r="P65" s="10"/>
      <c r="Q65" s="10"/>
      <c r="R65" s="10"/>
      <c r="S65" s="10" t="s">
        <v>1024</v>
      </c>
      <c r="T65" s="10" t="s">
        <v>32</v>
      </c>
      <c r="U65" s="10" t="s">
        <v>1024</v>
      </c>
      <c r="V65" s="50" t="s">
        <v>33</v>
      </c>
      <c r="W65" s="23"/>
      <c r="X65" s="10" t="s">
        <v>1024</v>
      </c>
      <c r="Y65" s="10" t="s">
        <v>32</v>
      </c>
      <c r="Z65" s="10" t="str">
        <f>_xlfn.DISPIMG("ID_6784D893B3924C2CAD6B17D19B4E8E5F",1)</f>
        <v>=DISPIMG("ID_6784D893B3924C2CAD6B17D19B4E8E5F",1)</v>
      </c>
      <c r="AA65" s="10" t="s">
        <v>34</v>
      </c>
      <c r="AB65" s="10" t="s">
        <v>56</v>
      </c>
      <c r="AC65" s="10" t="s">
        <v>1025</v>
      </c>
    </row>
    <row r="66" s="2" customFormat="1" ht="99" hidden="1" spans="1:29">
      <c r="A66" s="10" t="s">
        <v>913</v>
      </c>
      <c r="B66" s="11" t="s">
        <v>53</v>
      </c>
      <c r="C66" s="10" t="s">
        <v>922</v>
      </c>
      <c r="D66" s="10" t="s">
        <v>965</v>
      </c>
      <c r="E66" s="10"/>
      <c r="F66" s="12"/>
      <c r="G66" s="13"/>
      <c r="H66" s="15"/>
      <c r="I66" s="10"/>
      <c r="J66" s="10"/>
      <c r="K66" s="10"/>
      <c r="L66" s="10"/>
      <c r="M66" s="10"/>
      <c r="N66" s="10"/>
      <c r="O66" s="10"/>
      <c r="P66" s="10"/>
      <c r="Q66" s="10"/>
      <c r="R66" s="10"/>
      <c r="S66" s="10" t="s">
        <v>1026</v>
      </c>
      <c r="T66" s="10" t="s">
        <v>68</v>
      </c>
      <c r="U66" s="10" t="s">
        <v>1027</v>
      </c>
      <c r="V66" s="50" t="s">
        <v>33</v>
      </c>
      <c r="W66" s="23"/>
      <c r="X66" s="10" t="s">
        <v>1026</v>
      </c>
      <c r="Y66" s="10" t="s">
        <v>68</v>
      </c>
      <c r="Z66" s="10" t="str">
        <f>_xlfn.DISPIMG("ID_599849818B1847C08F68119F6771B065",1)</f>
        <v>=DISPIMG("ID_599849818B1847C08F68119F6771B065",1)</v>
      </c>
      <c r="AA66" s="10" t="s">
        <v>34</v>
      </c>
      <c r="AB66" s="10" t="s">
        <v>1028</v>
      </c>
      <c r="AC66" s="10" t="s">
        <v>1025</v>
      </c>
    </row>
    <row r="67" s="2" customFormat="1" ht="107.05" hidden="1" spans="1:29">
      <c r="A67" s="10" t="s">
        <v>913</v>
      </c>
      <c r="B67" s="11" t="s">
        <v>53</v>
      </c>
      <c r="C67" s="10" t="s">
        <v>922</v>
      </c>
      <c r="D67" s="10" t="s">
        <v>965</v>
      </c>
      <c r="E67" s="10"/>
      <c r="F67" s="12"/>
      <c r="G67" s="13"/>
      <c r="H67" s="16"/>
      <c r="I67" s="10"/>
      <c r="J67" s="10"/>
      <c r="K67" s="10"/>
      <c r="L67" s="10"/>
      <c r="M67" s="10"/>
      <c r="N67" s="10"/>
      <c r="O67" s="10"/>
      <c r="P67" s="10"/>
      <c r="Q67" s="10"/>
      <c r="R67" s="10"/>
      <c r="S67" s="10" t="s">
        <v>1029</v>
      </c>
      <c r="T67" s="10" t="s">
        <v>32</v>
      </c>
      <c r="U67" s="10" t="s">
        <v>1029</v>
      </c>
      <c r="V67" s="50" t="s">
        <v>33</v>
      </c>
      <c r="W67" s="23"/>
      <c r="X67" s="10" t="s">
        <v>1029</v>
      </c>
      <c r="Y67" s="10" t="s">
        <v>32</v>
      </c>
      <c r="Z67" s="10" t="str">
        <f>_xlfn.DISPIMG("ID_B9BACA700D574C69BCF17F82BB521D4D",1)</f>
        <v>=DISPIMG("ID_B9BACA700D574C69BCF17F82BB521D4D",1)</v>
      </c>
      <c r="AA67" s="10" t="s">
        <v>34</v>
      </c>
      <c r="AB67" s="10" t="s">
        <v>56</v>
      </c>
      <c r="AC67" s="10" t="s">
        <v>1030</v>
      </c>
    </row>
    <row r="68" s="2" customFormat="1" ht="101.4" hidden="1" spans="1:29">
      <c r="A68" s="10" t="s">
        <v>913</v>
      </c>
      <c r="B68" s="11" t="s">
        <v>53</v>
      </c>
      <c r="C68" s="10" t="s">
        <v>922</v>
      </c>
      <c r="D68" s="10" t="s">
        <v>1031</v>
      </c>
      <c r="E68" s="10"/>
      <c r="F68" s="12"/>
      <c r="G68" s="13"/>
      <c r="H68" s="10" t="s">
        <v>1031</v>
      </c>
      <c r="I68" s="10"/>
      <c r="J68" s="10"/>
      <c r="K68" s="10"/>
      <c r="L68" s="10"/>
      <c r="M68" s="10"/>
      <c r="N68" s="10"/>
      <c r="O68" s="10"/>
      <c r="P68" s="10"/>
      <c r="Q68" s="10"/>
      <c r="R68" s="10"/>
      <c r="S68" s="10" t="s">
        <v>1032</v>
      </c>
      <c r="T68" s="10" t="s">
        <v>32</v>
      </c>
      <c r="U68" s="10" t="s">
        <v>1032</v>
      </c>
      <c r="V68" s="50" t="s">
        <v>33</v>
      </c>
      <c r="W68" s="23"/>
      <c r="X68" s="10" t="s">
        <v>1032</v>
      </c>
      <c r="Y68" s="10" t="s">
        <v>32</v>
      </c>
      <c r="Z68" s="10" t="str">
        <f>_xlfn.DISPIMG("ID_BA9FD6385C994286AB86C564C6977238",1)</f>
        <v>=DISPIMG("ID_BA9FD6385C994286AB86C564C6977238",1)</v>
      </c>
      <c r="AA68" s="10" t="s">
        <v>34</v>
      </c>
      <c r="AB68" s="10" t="s">
        <v>56</v>
      </c>
      <c r="AC68" s="10"/>
    </row>
    <row r="69" s="2" customFormat="1" ht="101.55" hidden="1" spans="1:29">
      <c r="A69" s="10" t="s">
        <v>913</v>
      </c>
      <c r="B69" s="11" t="s">
        <v>53</v>
      </c>
      <c r="C69" s="10" t="s">
        <v>1033</v>
      </c>
      <c r="D69" s="10" t="s">
        <v>81</v>
      </c>
      <c r="E69" s="10"/>
      <c r="F69" s="12"/>
      <c r="G69" s="13"/>
      <c r="H69" s="14" t="s">
        <v>81</v>
      </c>
      <c r="I69" s="10"/>
      <c r="J69" s="10"/>
      <c r="K69" s="10"/>
      <c r="L69" s="10"/>
      <c r="M69" s="10"/>
      <c r="N69" s="10"/>
      <c r="O69" s="10"/>
      <c r="P69" s="10"/>
      <c r="Q69" s="10"/>
      <c r="R69" s="10"/>
      <c r="S69" s="10" t="s">
        <v>1034</v>
      </c>
      <c r="T69" s="10" t="s">
        <v>32</v>
      </c>
      <c r="U69" s="10" t="s">
        <v>1034</v>
      </c>
      <c r="V69" s="50" t="s">
        <v>33</v>
      </c>
      <c r="W69" s="23"/>
      <c r="X69" s="10" t="s">
        <v>1034</v>
      </c>
      <c r="Y69" s="10" t="s">
        <v>32</v>
      </c>
      <c r="Z69" s="10" t="str">
        <f>_xlfn.DISPIMG("ID_2E4B23C6DD0345EC9BE94DDC4748435C",1)</f>
        <v>=DISPIMG("ID_2E4B23C6DD0345EC9BE94DDC4748435C",1)</v>
      </c>
      <c r="AA69" s="10" t="s">
        <v>34</v>
      </c>
      <c r="AB69" s="10" t="s">
        <v>56</v>
      </c>
      <c r="AC69" s="10"/>
    </row>
    <row r="70" s="2" customFormat="1" ht="99.95" hidden="1" spans="1:29">
      <c r="A70" s="10" t="s">
        <v>913</v>
      </c>
      <c r="B70" s="11" t="s">
        <v>53</v>
      </c>
      <c r="C70" s="10" t="s">
        <v>1033</v>
      </c>
      <c r="D70" s="10" t="s">
        <v>81</v>
      </c>
      <c r="E70" s="10"/>
      <c r="F70" s="12"/>
      <c r="G70" s="13"/>
      <c r="H70" s="15"/>
      <c r="I70" s="10"/>
      <c r="J70" s="10"/>
      <c r="K70" s="10"/>
      <c r="L70" s="10"/>
      <c r="M70" s="10"/>
      <c r="N70" s="10"/>
      <c r="O70" s="10"/>
      <c r="P70" s="10"/>
      <c r="Q70" s="10"/>
      <c r="R70" s="10"/>
      <c r="S70" s="10" t="s">
        <v>1035</v>
      </c>
      <c r="T70" s="10" t="s">
        <v>32</v>
      </c>
      <c r="U70" s="10" t="s">
        <v>1035</v>
      </c>
      <c r="V70" s="50" t="s">
        <v>33</v>
      </c>
      <c r="W70" s="23"/>
      <c r="X70" s="10" t="s">
        <v>1035</v>
      </c>
      <c r="Y70" s="10" t="s">
        <v>32</v>
      </c>
      <c r="Z70" s="10" t="str">
        <f>_xlfn.DISPIMG("ID_0204B0C3CA5D4E52BB9FD79C9412B534",1)</f>
        <v>=DISPIMG("ID_0204B0C3CA5D4E52BB9FD79C9412B534",1)</v>
      </c>
      <c r="AA70" s="10" t="s">
        <v>34</v>
      </c>
      <c r="AB70" s="10" t="s">
        <v>56</v>
      </c>
      <c r="AC70" s="10"/>
    </row>
    <row r="71" s="2" customFormat="1" ht="132" hidden="1" spans="1:29">
      <c r="A71" s="10" t="s">
        <v>913</v>
      </c>
      <c r="B71" s="11" t="s">
        <v>53</v>
      </c>
      <c r="C71" s="10" t="s">
        <v>1033</v>
      </c>
      <c r="D71" s="10" t="s">
        <v>81</v>
      </c>
      <c r="E71" s="10"/>
      <c r="F71" s="12"/>
      <c r="G71" s="13"/>
      <c r="H71" s="16"/>
      <c r="I71" s="10"/>
      <c r="J71" s="10"/>
      <c r="K71" s="10"/>
      <c r="L71" s="10"/>
      <c r="M71" s="10"/>
      <c r="N71" s="10"/>
      <c r="O71" s="10"/>
      <c r="P71" s="10"/>
      <c r="Q71" s="10"/>
      <c r="R71" s="10"/>
      <c r="S71" s="10" t="s">
        <v>1036</v>
      </c>
      <c r="T71" s="10" t="s">
        <v>68</v>
      </c>
      <c r="U71" s="10" t="s">
        <v>1037</v>
      </c>
      <c r="V71" s="50" t="s">
        <v>95</v>
      </c>
      <c r="W71" s="23"/>
      <c r="X71" s="10" t="s">
        <v>1036</v>
      </c>
      <c r="Y71" s="10" t="s">
        <v>68</v>
      </c>
      <c r="Z71" s="10" t="str">
        <f>_xlfn.DISPIMG("ID_41DE90CAAAB842E9BC35C7FC68D3A3C0",1)</f>
        <v>=DISPIMG("ID_41DE90CAAAB842E9BC35C7FC68D3A3C0",1)</v>
      </c>
      <c r="AA71" s="10" t="s">
        <v>34</v>
      </c>
      <c r="AB71" s="10" t="s">
        <v>1038</v>
      </c>
      <c r="AC71" s="10"/>
    </row>
    <row r="72" s="2" customFormat="1" ht="105.55" hidden="1" spans="1:29">
      <c r="A72" s="10" t="s">
        <v>913</v>
      </c>
      <c r="B72" s="11" t="s">
        <v>53</v>
      </c>
      <c r="C72" s="10" t="s">
        <v>1033</v>
      </c>
      <c r="D72" s="10" t="s">
        <v>127</v>
      </c>
      <c r="E72" s="10"/>
      <c r="F72" s="12"/>
      <c r="G72" s="13"/>
      <c r="H72" s="14" t="s">
        <v>127</v>
      </c>
      <c r="I72" s="10"/>
      <c r="J72" s="10"/>
      <c r="K72" s="10"/>
      <c r="L72" s="10"/>
      <c r="M72" s="10"/>
      <c r="N72" s="10"/>
      <c r="O72" s="10"/>
      <c r="P72" s="10"/>
      <c r="Q72" s="10"/>
      <c r="R72" s="10"/>
      <c r="S72" s="10" t="s">
        <v>1039</v>
      </c>
      <c r="T72" s="10" t="s">
        <v>32</v>
      </c>
      <c r="U72" s="10" t="s">
        <v>1039</v>
      </c>
      <c r="V72" s="50" t="s">
        <v>33</v>
      </c>
      <c r="W72" s="23"/>
      <c r="X72" s="10" t="s">
        <v>1039</v>
      </c>
      <c r="Y72" s="10" t="s">
        <v>32</v>
      </c>
      <c r="Z72" s="10" t="str">
        <f>_xlfn.DISPIMG("ID_C2B9B846C91D44F6A90DBB82081A26AA",1)</f>
        <v>=DISPIMG("ID_C2B9B846C91D44F6A90DBB82081A26AA",1)</v>
      </c>
      <c r="AA72" s="10" t="s">
        <v>34</v>
      </c>
      <c r="AB72" s="10" t="s">
        <v>56</v>
      </c>
      <c r="AC72" s="10"/>
    </row>
    <row r="73" s="2" customFormat="1" ht="108.1" hidden="1" spans="1:29">
      <c r="A73" s="10" t="s">
        <v>913</v>
      </c>
      <c r="B73" s="11" t="s">
        <v>53</v>
      </c>
      <c r="C73" s="10" t="s">
        <v>1033</v>
      </c>
      <c r="D73" s="10" t="s">
        <v>127</v>
      </c>
      <c r="E73" s="10"/>
      <c r="F73" s="12"/>
      <c r="G73" s="13"/>
      <c r="H73" s="15"/>
      <c r="I73" s="10"/>
      <c r="J73" s="10"/>
      <c r="K73" s="10"/>
      <c r="L73" s="10"/>
      <c r="M73" s="10"/>
      <c r="N73" s="10"/>
      <c r="O73" s="10"/>
      <c r="P73" s="10"/>
      <c r="Q73" s="10"/>
      <c r="R73" s="10"/>
      <c r="S73" s="10" t="s">
        <v>1040</v>
      </c>
      <c r="T73" s="10" t="s">
        <v>32</v>
      </c>
      <c r="U73" s="10" t="s">
        <v>1040</v>
      </c>
      <c r="V73" s="50" t="s">
        <v>33</v>
      </c>
      <c r="W73" s="23"/>
      <c r="X73" s="10" t="s">
        <v>1040</v>
      </c>
      <c r="Y73" s="10" t="s">
        <v>32</v>
      </c>
      <c r="Z73" s="10" t="str">
        <f>_xlfn.DISPIMG("ID_CB1AB6C28C8E4D729DDBEBA9449DBEA7",1)</f>
        <v>=DISPIMG("ID_CB1AB6C28C8E4D729DDBEBA9449DBEA7",1)</v>
      </c>
      <c r="AA73" s="10" t="s">
        <v>34</v>
      </c>
      <c r="AB73" s="10" t="s">
        <v>56</v>
      </c>
      <c r="AC73" s="10"/>
    </row>
    <row r="74" s="2" customFormat="1" ht="181.5" hidden="1" spans="1:29">
      <c r="A74" s="10" t="s">
        <v>913</v>
      </c>
      <c r="B74" s="11" t="s">
        <v>53</v>
      </c>
      <c r="C74" s="10" t="s">
        <v>1033</v>
      </c>
      <c r="D74" s="10" t="s">
        <v>127</v>
      </c>
      <c r="E74" s="10"/>
      <c r="F74" s="12"/>
      <c r="G74" s="13"/>
      <c r="H74" s="15"/>
      <c r="I74" s="10"/>
      <c r="J74" s="10"/>
      <c r="K74" s="10"/>
      <c r="L74" s="10"/>
      <c r="M74" s="10"/>
      <c r="N74" s="10"/>
      <c r="O74" s="10"/>
      <c r="P74" s="10"/>
      <c r="Q74" s="10"/>
      <c r="R74" s="10"/>
      <c r="S74" s="10" t="s">
        <v>1041</v>
      </c>
      <c r="T74" s="10" t="s">
        <v>68</v>
      </c>
      <c r="U74" s="10" t="s">
        <v>1042</v>
      </c>
      <c r="V74" s="50" t="s">
        <v>136</v>
      </c>
      <c r="W74" s="23"/>
      <c r="X74" s="10" t="s">
        <v>1041</v>
      </c>
      <c r="Y74" s="10" t="s">
        <v>68</v>
      </c>
      <c r="Z74" s="10" t="str">
        <f>_xlfn.DISPIMG("ID_847150DFAAA64C0BAD63B50273C393C9",1)</f>
        <v>=DISPIMG("ID_847150DFAAA64C0BAD63B50273C393C9",1)</v>
      </c>
      <c r="AA74" s="10" t="s">
        <v>34</v>
      </c>
      <c r="AB74" s="10" t="s">
        <v>1043</v>
      </c>
      <c r="AC74" s="10"/>
    </row>
    <row r="75" s="2" customFormat="1" ht="109.6" hidden="1" spans="1:29">
      <c r="A75" s="10" t="s">
        <v>913</v>
      </c>
      <c r="B75" s="11" t="s">
        <v>53</v>
      </c>
      <c r="C75" s="10" t="s">
        <v>1033</v>
      </c>
      <c r="D75" s="10" t="s">
        <v>127</v>
      </c>
      <c r="E75" s="10"/>
      <c r="F75" s="12"/>
      <c r="G75" s="13"/>
      <c r="H75" s="15"/>
      <c r="I75" s="10"/>
      <c r="J75" s="10"/>
      <c r="K75" s="10"/>
      <c r="L75" s="10"/>
      <c r="M75" s="10"/>
      <c r="N75" s="10"/>
      <c r="O75" s="10"/>
      <c r="P75" s="10"/>
      <c r="Q75" s="10"/>
      <c r="R75" s="10"/>
      <c r="S75" s="10" t="s">
        <v>1044</v>
      </c>
      <c r="T75" s="10" t="s">
        <v>32</v>
      </c>
      <c r="U75" s="10" t="s">
        <v>1044</v>
      </c>
      <c r="V75" s="50" t="s">
        <v>33</v>
      </c>
      <c r="W75" s="23"/>
      <c r="X75" s="10" t="s">
        <v>1044</v>
      </c>
      <c r="Y75" s="10" t="s">
        <v>32</v>
      </c>
      <c r="Z75" s="10" t="str">
        <f>_xlfn.DISPIMG("ID_247DCEA9429D46B79CC0699DA6B0F16D",1)</f>
        <v>=DISPIMG("ID_247DCEA9429D46B79CC0699DA6B0F16D",1)</v>
      </c>
      <c r="AA75" s="10" t="s">
        <v>34</v>
      </c>
      <c r="AB75" s="10" t="s">
        <v>56</v>
      </c>
      <c r="AC75" s="10"/>
    </row>
    <row r="76" s="2" customFormat="1" ht="132" hidden="1" spans="1:29">
      <c r="A76" s="10" t="s">
        <v>913</v>
      </c>
      <c r="B76" s="11" t="s">
        <v>53</v>
      </c>
      <c r="C76" s="10" t="s">
        <v>1033</v>
      </c>
      <c r="D76" s="10" t="s">
        <v>127</v>
      </c>
      <c r="E76" s="10"/>
      <c r="F76" s="12"/>
      <c r="G76" s="13"/>
      <c r="H76" s="15"/>
      <c r="I76" s="10"/>
      <c r="J76" s="10"/>
      <c r="K76" s="10"/>
      <c r="L76" s="10"/>
      <c r="M76" s="10"/>
      <c r="N76" s="10"/>
      <c r="O76" s="10"/>
      <c r="P76" s="10"/>
      <c r="Q76" s="10"/>
      <c r="R76" s="10"/>
      <c r="S76" s="10" t="s">
        <v>1045</v>
      </c>
      <c r="T76" s="10" t="s">
        <v>68</v>
      </c>
      <c r="U76" s="10" t="s">
        <v>1046</v>
      </c>
      <c r="V76" s="50" t="s">
        <v>136</v>
      </c>
      <c r="W76" s="23"/>
      <c r="X76" s="10" t="s">
        <v>1045</v>
      </c>
      <c r="Y76" s="10" t="s">
        <v>68</v>
      </c>
      <c r="Z76" s="10" t="str">
        <f>_xlfn.DISPIMG("ID_CD14107B0D094403AB6491E70D4D93D8",1)</f>
        <v>=DISPIMG("ID_CD14107B0D094403AB6491E70D4D93D8",1)</v>
      </c>
      <c r="AA76" s="10" t="s">
        <v>34</v>
      </c>
      <c r="AB76" s="10" t="s">
        <v>1047</v>
      </c>
      <c r="AC76" s="10"/>
    </row>
    <row r="77" s="2" customFormat="1" ht="108.6" hidden="1" spans="1:29">
      <c r="A77" s="10" t="s">
        <v>913</v>
      </c>
      <c r="B77" s="11" t="s">
        <v>53</v>
      </c>
      <c r="C77" s="10" t="s">
        <v>1033</v>
      </c>
      <c r="D77" s="10" t="s">
        <v>127</v>
      </c>
      <c r="E77" s="10"/>
      <c r="F77" s="12"/>
      <c r="G77" s="13"/>
      <c r="H77" s="15"/>
      <c r="I77" s="10"/>
      <c r="J77" s="10"/>
      <c r="K77" s="10"/>
      <c r="L77" s="10"/>
      <c r="M77" s="10"/>
      <c r="N77" s="10"/>
      <c r="O77" s="10"/>
      <c r="P77" s="10"/>
      <c r="Q77" s="10"/>
      <c r="R77" s="10"/>
      <c r="S77" s="10" t="s">
        <v>1048</v>
      </c>
      <c r="T77" s="10" t="s">
        <v>32</v>
      </c>
      <c r="U77" s="10" t="s">
        <v>1048</v>
      </c>
      <c r="V77" s="50" t="s">
        <v>33</v>
      </c>
      <c r="W77" s="23"/>
      <c r="X77" s="10" t="s">
        <v>1048</v>
      </c>
      <c r="Y77" s="10" t="s">
        <v>32</v>
      </c>
      <c r="Z77" s="10" t="str">
        <f>_xlfn.DISPIMG("ID_FF5D790D84414BDB8B55322F31D97E3C",1)</f>
        <v>=DISPIMG("ID_FF5D790D84414BDB8B55322F31D97E3C",1)</v>
      </c>
      <c r="AA77" s="10" t="s">
        <v>34</v>
      </c>
      <c r="AB77" s="10" t="s">
        <v>56</v>
      </c>
      <c r="AC77" s="10"/>
    </row>
    <row r="78" s="2" customFormat="1" ht="82.5" hidden="1" spans="1:29">
      <c r="A78" s="10" t="s">
        <v>913</v>
      </c>
      <c r="B78" s="11" t="s">
        <v>53</v>
      </c>
      <c r="C78" s="10" t="s">
        <v>1033</v>
      </c>
      <c r="D78" s="10" t="s">
        <v>127</v>
      </c>
      <c r="E78" s="10"/>
      <c r="F78" s="12"/>
      <c r="G78" s="13"/>
      <c r="H78" s="15"/>
      <c r="I78" s="10"/>
      <c r="J78" s="10"/>
      <c r="K78" s="10"/>
      <c r="L78" s="10"/>
      <c r="M78" s="10"/>
      <c r="N78" s="10"/>
      <c r="O78" s="10"/>
      <c r="P78" s="10"/>
      <c r="Q78" s="10"/>
      <c r="R78" s="10"/>
      <c r="S78" s="10" t="s">
        <v>163</v>
      </c>
      <c r="T78" s="10" t="s">
        <v>68</v>
      </c>
      <c r="U78" s="10" t="s">
        <v>1049</v>
      </c>
      <c r="V78" s="50" t="s">
        <v>136</v>
      </c>
      <c r="W78" s="23"/>
      <c r="X78" s="10" t="s">
        <v>163</v>
      </c>
      <c r="Y78" s="10" t="s">
        <v>68</v>
      </c>
      <c r="Z78" s="10" t="str">
        <f>_xlfn.DISPIMG("ID_2126FF825EB54A5D8EDD8C52E2464AF9",1)</f>
        <v>=DISPIMG("ID_2126FF825EB54A5D8EDD8C52E2464AF9",1)</v>
      </c>
      <c r="AA78" s="10" t="s">
        <v>34</v>
      </c>
      <c r="AB78" s="10" t="s">
        <v>1050</v>
      </c>
      <c r="AC78" s="10"/>
    </row>
    <row r="79" s="2" customFormat="1" ht="108" hidden="1" spans="1:29">
      <c r="A79" s="10" t="s">
        <v>913</v>
      </c>
      <c r="B79" s="11" t="s">
        <v>53</v>
      </c>
      <c r="C79" s="10" t="s">
        <v>1033</v>
      </c>
      <c r="D79" s="10" t="s">
        <v>127</v>
      </c>
      <c r="E79" s="10"/>
      <c r="F79" s="12"/>
      <c r="G79" s="13"/>
      <c r="H79" s="16"/>
      <c r="I79" s="10"/>
      <c r="J79" s="10"/>
      <c r="K79" s="10"/>
      <c r="L79" s="10"/>
      <c r="M79" s="10"/>
      <c r="N79" s="10"/>
      <c r="O79" s="10"/>
      <c r="P79" s="10"/>
      <c r="Q79" s="10"/>
      <c r="R79" s="10"/>
      <c r="S79" s="10" t="s">
        <v>1051</v>
      </c>
      <c r="T79" s="10" t="s">
        <v>32</v>
      </c>
      <c r="U79" s="10" t="s">
        <v>1051</v>
      </c>
      <c r="V79" s="50" t="s">
        <v>33</v>
      </c>
      <c r="W79" s="23"/>
      <c r="X79" s="10" t="s">
        <v>1051</v>
      </c>
      <c r="Y79" s="10" t="s">
        <v>32</v>
      </c>
      <c r="Z79" s="10" t="str">
        <f>_xlfn.DISPIMG("ID_8F9681147A874DC5853159E83F940EAD",1)</f>
        <v>=DISPIMG("ID_8F9681147A874DC5853159E83F940EAD",1)</v>
      </c>
      <c r="AA79" s="10" t="s">
        <v>34</v>
      </c>
      <c r="AB79" s="10" t="s">
        <v>56</v>
      </c>
      <c r="AC79" s="10"/>
    </row>
    <row r="80" s="2" customFormat="1" ht="101.15" hidden="1" spans="1:29">
      <c r="A80" s="10" t="s">
        <v>913</v>
      </c>
      <c r="B80" s="11" t="s">
        <v>53</v>
      </c>
      <c r="C80" s="10" t="s">
        <v>1033</v>
      </c>
      <c r="D80" s="10" t="s">
        <v>198</v>
      </c>
      <c r="E80" s="10"/>
      <c r="F80" s="12"/>
      <c r="G80" s="13"/>
      <c r="H80" s="10" t="s">
        <v>198</v>
      </c>
      <c r="I80" s="10"/>
      <c r="J80" s="10"/>
      <c r="K80" s="10"/>
      <c r="L80" s="10"/>
      <c r="M80" s="10"/>
      <c r="N80" s="10"/>
      <c r="O80" s="10"/>
      <c r="P80" s="10"/>
      <c r="Q80" s="10"/>
      <c r="R80" s="10"/>
      <c r="S80" s="10" t="s">
        <v>198</v>
      </c>
      <c r="T80" s="10" t="s">
        <v>32</v>
      </c>
      <c r="U80" s="10" t="s">
        <v>198</v>
      </c>
      <c r="V80" s="50" t="s">
        <v>33</v>
      </c>
      <c r="W80" s="23"/>
      <c r="X80" s="10" t="s">
        <v>198</v>
      </c>
      <c r="Y80" s="10" t="s">
        <v>32</v>
      </c>
      <c r="Z80" s="10" t="str">
        <f>_xlfn.DISPIMG("ID_5CDABD13B7DF41B99CD363E37E515357",1)</f>
        <v>=DISPIMG("ID_5CDABD13B7DF41B99CD363E37E515357",1)</v>
      </c>
      <c r="AA80" s="10" t="s">
        <v>34</v>
      </c>
      <c r="AB80" s="10" t="s">
        <v>56</v>
      </c>
      <c r="AC80" s="10"/>
    </row>
    <row r="81" s="2" customFormat="1" ht="111.95" hidden="1" spans="1:29">
      <c r="A81" s="10" t="s">
        <v>913</v>
      </c>
      <c r="B81" s="11" t="s">
        <v>53</v>
      </c>
      <c r="C81" s="10" t="s">
        <v>1033</v>
      </c>
      <c r="D81" s="10" t="s">
        <v>262</v>
      </c>
      <c r="E81" s="10"/>
      <c r="F81" s="12"/>
      <c r="G81" s="13"/>
      <c r="H81" s="14" t="s">
        <v>262</v>
      </c>
      <c r="I81" s="10"/>
      <c r="J81" s="10"/>
      <c r="K81" s="10"/>
      <c r="L81" s="10"/>
      <c r="M81" s="10"/>
      <c r="N81" s="10"/>
      <c r="O81" s="10"/>
      <c r="P81" s="10"/>
      <c r="Q81" s="10"/>
      <c r="R81" s="10"/>
      <c r="S81" s="10" t="s">
        <v>1052</v>
      </c>
      <c r="T81" s="10" t="s">
        <v>32</v>
      </c>
      <c r="U81" s="10" t="s">
        <v>1052</v>
      </c>
      <c r="V81" s="50" t="s">
        <v>33</v>
      </c>
      <c r="W81" s="23"/>
      <c r="X81" s="10" t="s">
        <v>1052</v>
      </c>
      <c r="Y81" s="10" t="s">
        <v>32</v>
      </c>
      <c r="Z81" s="10" t="str">
        <f>_xlfn.DISPIMG("ID_2633056A73224637AD5E374B4E0F6443",1)</f>
        <v>=DISPIMG("ID_2633056A73224637AD5E374B4E0F6443",1)</v>
      </c>
      <c r="AA81" s="10" t="s">
        <v>34</v>
      </c>
      <c r="AB81" s="10" t="s">
        <v>56</v>
      </c>
      <c r="AC81" s="10"/>
    </row>
    <row r="82" s="2" customFormat="1" ht="99" hidden="1" spans="1:29">
      <c r="A82" s="10" t="s">
        <v>913</v>
      </c>
      <c r="B82" s="11" t="s">
        <v>53</v>
      </c>
      <c r="C82" s="10" t="s">
        <v>1033</v>
      </c>
      <c r="D82" s="10" t="s">
        <v>262</v>
      </c>
      <c r="E82" s="10"/>
      <c r="F82" s="12"/>
      <c r="G82" s="13"/>
      <c r="H82" s="15"/>
      <c r="I82" s="10"/>
      <c r="J82" s="10"/>
      <c r="K82" s="10"/>
      <c r="L82" s="10"/>
      <c r="M82" s="10"/>
      <c r="N82" s="10"/>
      <c r="O82" s="10"/>
      <c r="P82" s="10"/>
      <c r="Q82" s="10"/>
      <c r="R82" s="10"/>
      <c r="S82" s="10" t="s">
        <v>1053</v>
      </c>
      <c r="T82" s="10" t="s">
        <v>68</v>
      </c>
      <c r="U82" s="10" t="s">
        <v>1054</v>
      </c>
      <c r="V82" s="50" t="s">
        <v>269</v>
      </c>
      <c r="W82" s="23"/>
      <c r="X82" s="10" t="s">
        <v>1053</v>
      </c>
      <c r="Y82" s="10" t="s">
        <v>68</v>
      </c>
      <c r="Z82" s="10" t="str">
        <f>_xlfn.DISPIMG("ID_DEB95CA0C61C4255B2571B83D80D935D",1)</f>
        <v>=DISPIMG("ID_DEB95CA0C61C4255B2571B83D80D935D",1)</v>
      </c>
      <c r="AA82" s="10" t="s">
        <v>34</v>
      </c>
      <c r="AB82" s="10" t="s">
        <v>1055</v>
      </c>
      <c r="AC82" s="10"/>
    </row>
    <row r="83" s="2" customFormat="1" ht="110.35" hidden="1" spans="1:29">
      <c r="A83" s="10" t="s">
        <v>913</v>
      </c>
      <c r="B83" s="11" t="s">
        <v>53</v>
      </c>
      <c r="C83" s="10" t="s">
        <v>1033</v>
      </c>
      <c r="D83" s="10" t="s">
        <v>262</v>
      </c>
      <c r="E83" s="10"/>
      <c r="F83" s="12"/>
      <c r="G83" s="13"/>
      <c r="H83" s="15"/>
      <c r="I83" s="10"/>
      <c r="J83" s="10"/>
      <c r="K83" s="10"/>
      <c r="L83" s="10"/>
      <c r="M83" s="10"/>
      <c r="N83" s="10"/>
      <c r="O83" s="10"/>
      <c r="P83" s="10"/>
      <c r="Q83" s="10"/>
      <c r="R83" s="10"/>
      <c r="S83" s="10" t="s">
        <v>1056</v>
      </c>
      <c r="T83" s="10" t="s">
        <v>32</v>
      </c>
      <c r="U83" s="10" t="s">
        <v>1056</v>
      </c>
      <c r="V83" s="50" t="s">
        <v>33</v>
      </c>
      <c r="W83" s="23"/>
      <c r="X83" s="10" t="s">
        <v>1056</v>
      </c>
      <c r="Y83" s="10" t="s">
        <v>32</v>
      </c>
      <c r="Z83" s="10" t="str">
        <f>_xlfn.DISPIMG("ID_58DD6F7B7E704582ABDF14A88837D183",1)</f>
        <v>=DISPIMG("ID_58DD6F7B7E704582ABDF14A88837D183",1)</v>
      </c>
      <c r="AA83" s="10" t="s">
        <v>34</v>
      </c>
      <c r="AB83" s="10" t="s">
        <v>56</v>
      </c>
      <c r="AC83" s="10" t="s">
        <v>1057</v>
      </c>
    </row>
    <row r="84" s="2" customFormat="1" ht="109.35" hidden="1" spans="1:29">
      <c r="A84" s="10" t="s">
        <v>913</v>
      </c>
      <c r="B84" s="11" t="s">
        <v>53</v>
      </c>
      <c r="C84" s="10" t="s">
        <v>1033</v>
      </c>
      <c r="D84" s="10" t="s">
        <v>262</v>
      </c>
      <c r="E84" s="10"/>
      <c r="F84" s="12"/>
      <c r="G84" s="13"/>
      <c r="H84" s="15"/>
      <c r="I84" s="10"/>
      <c r="J84" s="10"/>
      <c r="K84" s="10"/>
      <c r="L84" s="10"/>
      <c r="M84" s="10"/>
      <c r="N84" s="10"/>
      <c r="O84" s="10"/>
      <c r="P84" s="10"/>
      <c r="Q84" s="10"/>
      <c r="R84" s="10"/>
      <c r="S84" s="10" t="s">
        <v>1058</v>
      </c>
      <c r="T84" s="10" t="s">
        <v>32</v>
      </c>
      <c r="U84" s="10" t="s">
        <v>1058</v>
      </c>
      <c r="V84" s="50" t="s">
        <v>33</v>
      </c>
      <c r="W84" s="23"/>
      <c r="X84" s="10" t="s">
        <v>1058</v>
      </c>
      <c r="Y84" s="10" t="s">
        <v>32</v>
      </c>
      <c r="Z84" s="10" t="str">
        <f>_xlfn.DISPIMG("ID_07B539EB93A54441BFF643380CD670CB",1)</f>
        <v>=DISPIMG("ID_07B539EB93A54441BFF643380CD670CB",1)</v>
      </c>
      <c r="AA84" s="10" t="s">
        <v>34</v>
      </c>
      <c r="AB84" s="10" t="s">
        <v>56</v>
      </c>
      <c r="AC84" s="10"/>
    </row>
    <row r="85" s="2" customFormat="1" ht="111.75" hidden="1" spans="1:29">
      <c r="A85" s="10" t="s">
        <v>913</v>
      </c>
      <c r="B85" s="11" t="s">
        <v>53</v>
      </c>
      <c r="C85" s="10" t="s">
        <v>1033</v>
      </c>
      <c r="D85" s="10" t="s">
        <v>262</v>
      </c>
      <c r="E85" s="10"/>
      <c r="F85" s="12"/>
      <c r="G85" s="13"/>
      <c r="H85" s="16"/>
      <c r="I85" s="10"/>
      <c r="J85" s="10"/>
      <c r="K85" s="10"/>
      <c r="L85" s="10"/>
      <c r="M85" s="10"/>
      <c r="N85" s="10"/>
      <c r="O85" s="10"/>
      <c r="P85" s="10"/>
      <c r="Q85" s="10"/>
      <c r="R85" s="10"/>
      <c r="S85" s="10" t="s">
        <v>1059</v>
      </c>
      <c r="T85" s="10" t="s">
        <v>32</v>
      </c>
      <c r="U85" s="10" t="s">
        <v>1059</v>
      </c>
      <c r="V85" s="50" t="s">
        <v>33</v>
      </c>
      <c r="W85" s="23"/>
      <c r="X85" s="10" t="s">
        <v>1059</v>
      </c>
      <c r="Y85" s="10" t="s">
        <v>32</v>
      </c>
      <c r="Z85" s="10" t="str">
        <f>_xlfn.DISPIMG("ID_22721F9A36984D8E994758B5080A9A9F",1)</f>
        <v>=DISPIMG("ID_22721F9A36984D8E994758B5080A9A9F",1)</v>
      </c>
      <c r="AA85" s="10" t="s">
        <v>34</v>
      </c>
      <c r="AB85" s="10" t="s">
        <v>56</v>
      </c>
      <c r="AC85" s="10"/>
    </row>
    <row r="86" s="2" customFormat="1" ht="104.15" hidden="1" spans="1:29">
      <c r="A86" s="10" t="s">
        <v>913</v>
      </c>
      <c r="B86" s="11" t="s">
        <v>53</v>
      </c>
      <c r="C86" s="19" t="s">
        <v>1060</v>
      </c>
      <c r="D86" s="10" t="s">
        <v>1061</v>
      </c>
      <c r="E86" s="19"/>
      <c r="F86" s="60"/>
      <c r="G86" s="13"/>
      <c r="H86" s="14" t="s">
        <v>1061</v>
      </c>
      <c r="I86" s="19"/>
      <c r="J86" s="19"/>
      <c r="K86" s="19"/>
      <c r="L86" s="19"/>
      <c r="M86" s="19"/>
      <c r="N86" s="19"/>
      <c r="O86" s="19"/>
      <c r="P86" s="19"/>
      <c r="Q86" s="19"/>
      <c r="R86" s="19"/>
      <c r="S86" s="19" t="s">
        <v>1062</v>
      </c>
      <c r="T86" s="19" t="s">
        <v>32</v>
      </c>
      <c r="U86" s="19" t="s">
        <v>1062</v>
      </c>
      <c r="V86" s="50" t="s">
        <v>33</v>
      </c>
      <c r="W86" s="23"/>
      <c r="X86" s="19" t="s">
        <v>1062</v>
      </c>
      <c r="Y86" s="19" t="s">
        <v>32</v>
      </c>
      <c r="Z86" s="10" t="str">
        <f>_xlfn.DISPIMG("ID_00722BC713DC4CDA9440407CDC032333",1)</f>
        <v>=DISPIMG("ID_00722BC713DC4CDA9440407CDC032333",1)</v>
      </c>
      <c r="AA86" s="10" t="s">
        <v>34</v>
      </c>
      <c r="AB86" s="10" t="s">
        <v>56</v>
      </c>
      <c r="AC86" s="10"/>
    </row>
    <row r="87" s="2" customFormat="1" ht="82.5" hidden="1" spans="1:29">
      <c r="A87" s="10" t="s">
        <v>913</v>
      </c>
      <c r="B87" s="11" t="s">
        <v>53</v>
      </c>
      <c r="C87" s="19" t="s">
        <v>1060</v>
      </c>
      <c r="D87" s="10" t="s">
        <v>1061</v>
      </c>
      <c r="E87" s="19"/>
      <c r="F87" s="60"/>
      <c r="G87" s="13"/>
      <c r="H87" s="16"/>
      <c r="I87" s="19"/>
      <c r="J87" s="19"/>
      <c r="K87" s="19"/>
      <c r="L87" s="19"/>
      <c r="M87" s="19"/>
      <c r="N87" s="19"/>
      <c r="O87" s="19"/>
      <c r="P87" s="19"/>
      <c r="Q87" s="19"/>
      <c r="R87" s="19"/>
      <c r="S87" s="19" t="s">
        <v>1063</v>
      </c>
      <c r="T87" s="19" t="s">
        <v>68</v>
      </c>
      <c r="U87" s="10" t="s">
        <v>1064</v>
      </c>
      <c r="V87" s="50" t="s">
        <v>33</v>
      </c>
      <c r="W87" s="23"/>
      <c r="X87" s="19" t="s">
        <v>1063</v>
      </c>
      <c r="Y87" s="19" t="s">
        <v>68</v>
      </c>
      <c r="Z87" s="10" t="str">
        <f>_xlfn.DISPIMG("ID_706843C5C50B42308CECF2A77B1B3D10",1)</f>
        <v>=DISPIMG("ID_706843C5C50B42308CECF2A77B1B3D10",1)</v>
      </c>
      <c r="AA87" s="10" t="s">
        <v>34</v>
      </c>
      <c r="AB87" s="10" t="s">
        <v>1065</v>
      </c>
      <c r="AC87" s="10"/>
    </row>
    <row r="88" s="2" customFormat="1" ht="103.2" hidden="1" spans="1:29">
      <c r="A88" s="10" t="s">
        <v>913</v>
      </c>
      <c r="B88" s="11" t="s">
        <v>53</v>
      </c>
      <c r="C88" s="19" t="s">
        <v>1060</v>
      </c>
      <c r="D88" s="19" t="s">
        <v>1066</v>
      </c>
      <c r="E88" s="19"/>
      <c r="F88" s="60"/>
      <c r="G88" s="13"/>
      <c r="H88" s="19" t="s">
        <v>1066</v>
      </c>
      <c r="I88" s="19"/>
      <c r="J88" s="19"/>
      <c r="K88" s="19"/>
      <c r="L88" s="19"/>
      <c r="M88" s="19"/>
      <c r="N88" s="19"/>
      <c r="O88" s="19"/>
      <c r="P88" s="19"/>
      <c r="Q88" s="19"/>
      <c r="R88" s="19"/>
      <c r="S88" s="19" t="s">
        <v>1067</v>
      </c>
      <c r="T88" s="19" t="s">
        <v>32</v>
      </c>
      <c r="U88" s="19" t="s">
        <v>1067</v>
      </c>
      <c r="V88" s="50" t="s">
        <v>33</v>
      </c>
      <c r="W88" s="23"/>
      <c r="X88" s="19" t="s">
        <v>1067</v>
      </c>
      <c r="Y88" s="19" t="s">
        <v>32</v>
      </c>
      <c r="Z88" s="10" t="str">
        <f>_xlfn.DISPIMG("ID_EB5C53D9368D472E8A1252BA3D70B3EB",1)</f>
        <v>=DISPIMG("ID_EB5C53D9368D472E8A1252BA3D70B3EB",1)</v>
      </c>
      <c r="AA88" s="10" t="s">
        <v>34</v>
      </c>
      <c r="AB88" s="10" t="s">
        <v>56</v>
      </c>
      <c r="AC88" s="10" t="s">
        <v>945</v>
      </c>
    </row>
    <row r="89" s="2" customFormat="1" ht="103.3" hidden="1" spans="1:29">
      <c r="A89" s="10" t="s">
        <v>913</v>
      </c>
      <c r="B89" s="11" t="s">
        <v>53</v>
      </c>
      <c r="C89" s="19" t="s">
        <v>1060</v>
      </c>
      <c r="D89" s="19" t="s">
        <v>1068</v>
      </c>
      <c r="E89" s="19"/>
      <c r="F89" s="60"/>
      <c r="G89" s="13"/>
      <c r="H89" s="19" t="s">
        <v>1068</v>
      </c>
      <c r="I89" s="19"/>
      <c r="J89" s="19"/>
      <c r="K89" s="19"/>
      <c r="L89" s="19"/>
      <c r="M89" s="19"/>
      <c r="N89" s="19"/>
      <c r="O89" s="19"/>
      <c r="P89" s="19"/>
      <c r="Q89" s="19"/>
      <c r="R89" s="19"/>
      <c r="S89" s="19" t="s">
        <v>1069</v>
      </c>
      <c r="T89" s="19" t="s">
        <v>32</v>
      </c>
      <c r="U89" s="19" t="s">
        <v>1069</v>
      </c>
      <c r="V89" s="50" t="s">
        <v>33</v>
      </c>
      <c r="W89" s="23"/>
      <c r="X89" s="19" t="s">
        <v>1069</v>
      </c>
      <c r="Y89" s="19" t="s">
        <v>32</v>
      </c>
      <c r="Z89" s="10" t="str">
        <f>_xlfn.DISPIMG("ID_1C546D5768C941E6BECEA0532DABC116",1)</f>
        <v>=DISPIMG("ID_1C546D5768C941E6BECEA0532DABC116",1)</v>
      </c>
      <c r="AA89" s="10" t="s">
        <v>34</v>
      </c>
      <c r="AB89" s="10" t="s">
        <v>56</v>
      </c>
      <c r="AC89" s="10" t="s">
        <v>945</v>
      </c>
    </row>
    <row r="90" s="2" customFormat="1" ht="66" hidden="1" spans="1:29">
      <c r="A90" s="10" t="s">
        <v>913</v>
      </c>
      <c r="B90" s="11" t="s">
        <v>53</v>
      </c>
      <c r="C90" s="19" t="s">
        <v>1060</v>
      </c>
      <c r="D90" s="19" t="s">
        <v>1070</v>
      </c>
      <c r="E90" s="19"/>
      <c r="F90" s="60"/>
      <c r="G90" s="13"/>
      <c r="H90" s="19" t="s">
        <v>1070</v>
      </c>
      <c r="I90" s="19"/>
      <c r="J90" s="19"/>
      <c r="K90" s="19"/>
      <c r="L90" s="19"/>
      <c r="M90" s="19"/>
      <c r="N90" s="19"/>
      <c r="O90" s="19"/>
      <c r="P90" s="19"/>
      <c r="Q90" s="19"/>
      <c r="R90" s="19"/>
      <c r="S90" s="19" t="s">
        <v>1071</v>
      </c>
      <c r="T90" s="19" t="s">
        <v>32</v>
      </c>
      <c r="U90" s="19" t="s">
        <v>1071</v>
      </c>
      <c r="V90" s="50" t="s">
        <v>33</v>
      </c>
      <c r="W90" s="23"/>
      <c r="X90" s="19" t="s">
        <v>1071</v>
      </c>
      <c r="Y90" s="19" t="s">
        <v>32</v>
      </c>
      <c r="Z90" s="10" t="str">
        <f>_xlfn.DISPIMG("ID_851D484D7D9A46A5912AA03F871CDFA8",1)</f>
        <v>=DISPIMG("ID_851D484D7D9A46A5912AA03F871CDFA8",1)</v>
      </c>
      <c r="AA90" s="10" t="s">
        <v>34</v>
      </c>
      <c r="AB90" s="10" t="s">
        <v>56</v>
      </c>
      <c r="AC90" s="10" t="s">
        <v>945</v>
      </c>
    </row>
    <row r="91" s="2" customFormat="1" ht="66" hidden="1" spans="1:29">
      <c r="A91" s="10" t="s">
        <v>913</v>
      </c>
      <c r="B91" s="11" t="s">
        <v>1072</v>
      </c>
      <c r="C91" s="10" t="s">
        <v>1073</v>
      </c>
      <c r="D91" s="10" t="s">
        <v>1074</v>
      </c>
      <c r="E91" s="10"/>
      <c r="F91" s="12"/>
      <c r="G91" s="13"/>
      <c r="H91" s="14" t="s">
        <v>1074</v>
      </c>
      <c r="I91" s="10"/>
      <c r="J91" s="10"/>
      <c r="K91" s="10"/>
      <c r="L91" s="10"/>
      <c r="M91" s="10"/>
      <c r="N91" s="10"/>
      <c r="O91" s="10"/>
      <c r="P91" s="10"/>
      <c r="Q91" s="10"/>
      <c r="R91" s="10"/>
      <c r="S91" s="10" t="s">
        <v>1075</v>
      </c>
      <c r="T91" s="10" t="s">
        <v>32</v>
      </c>
      <c r="U91" s="10" t="s">
        <v>1076</v>
      </c>
      <c r="V91" s="50" t="s">
        <v>33</v>
      </c>
      <c r="W91" s="23"/>
      <c r="X91" s="10" t="s">
        <v>1075</v>
      </c>
      <c r="Y91" s="10" t="s">
        <v>32</v>
      </c>
      <c r="Z91" s="10" t="str">
        <f>_xlfn.DISPIMG("ID_2FFD3EDB7F4C4EFE8E05940D98BEEB52",1)</f>
        <v>=DISPIMG("ID_2FFD3EDB7F4C4EFE8E05940D98BEEB52",1)</v>
      </c>
      <c r="AA91" s="10" t="s">
        <v>34</v>
      </c>
      <c r="AB91" s="10" t="s">
        <v>56</v>
      </c>
      <c r="AC91" s="10"/>
    </row>
    <row r="92" s="2" customFormat="1" ht="99" hidden="1" spans="1:29">
      <c r="A92" s="10" t="s">
        <v>913</v>
      </c>
      <c r="B92" s="11" t="s">
        <v>1072</v>
      </c>
      <c r="C92" s="10" t="s">
        <v>1073</v>
      </c>
      <c r="D92" s="10" t="s">
        <v>1074</v>
      </c>
      <c r="E92" s="10"/>
      <c r="F92" s="12"/>
      <c r="G92" s="13"/>
      <c r="H92" s="15"/>
      <c r="I92" s="10"/>
      <c r="J92" s="10"/>
      <c r="K92" s="10"/>
      <c r="L92" s="10"/>
      <c r="M92" s="10"/>
      <c r="N92" s="10"/>
      <c r="O92" s="10"/>
      <c r="P92" s="10"/>
      <c r="Q92" s="10"/>
      <c r="R92" s="10"/>
      <c r="S92" s="10" t="s">
        <v>1077</v>
      </c>
      <c r="T92" s="10" t="s">
        <v>68</v>
      </c>
      <c r="U92" s="10" t="s">
        <v>1078</v>
      </c>
      <c r="V92" s="50" t="s">
        <v>136</v>
      </c>
      <c r="W92" s="23"/>
      <c r="X92" s="10" t="s">
        <v>1077</v>
      </c>
      <c r="Y92" s="10" t="s">
        <v>68</v>
      </c>
      <c r="Z92" s="10" t="str">
        <f>_xlfn.DISPIMG("ID_74764A49CA0C42C3A14FD5500D1B3D2C",1)</f>
        <v>=DISPIMG("ID_74764A49CA0C42C3A14FD5500D1B3D2C",1)</v>
      </c>
      <c r="AA92" s="10" t="s">
        <v>34</v>
      </c>
      <c r="AB92" s="10" t="s">
        <v>1079</v>
      </c>
      <c r="AC92" s="10"/>
    </row>
    <row r="93" s="2" customFormat="1" ht="116.3" hidden="1" spans="1:29">
      <c r="A93" s="10" t="s">
        <v>913</v>
      </c>
      <c r="B93" s="11" t="s">
        <v>1072</v>
      </c>
      <c r="C93" s="10" t="s">
        <v>1073</v>
      </c>
      <c r="D93" s="10" t="s">
        <v>1074</v>
      </c>
      <c r="E93" s="10"/>
      <c r="F93" s="12"/>
      <c r="G93" s="13"/>
      <c r="H93" s="15"/>
      <c r="I93" s="10"/>
      <c r="J93" s="10"/>
      <c r="K93" s="10"/>
      <c r="L93" s="10"/>
      <c r="M93" s="10"/>
      <c r="N93" s="10"/>
      <c r="O93" s="10"/>
      <c r="P93" s="10"/>
      <c r="Q93" s="10"/>
      <c r="R93" s="10"/>
      <c r="S93" s="10" t="s">
        <v>1080</v>
      </c>
      <c r="T93" s="10" t="s">
        <v>32</v>
      </c>
      <c r="U93" s="10" t="s">
        <v>1077</v>
      </c>
      <c r="V93" s="50" t="s">
        <v>33</v>
      </c>
      <c r="W93" s="23"/>
      <c r="X93" s="10" t="s">
        <v>1080</v>
      </c>
      <c r="Y93" s="10" t="s">
        <v>32</v>
      </c>
      <c r="Z93" s="10" t="str">
        <f>_xlfn.DISPIMG("ID_67339BE842C94419B64053DCF9D0C67E",1)</f>
        <v>=DISPIMG("ID_67339BE842C94419B64053DCF9D0C67E",1)</v>
      </c>
      <c r="AA93" s="10" t="s">
        <v>34</v>
      </c>
      <c r="AB93" s="10" t="s">
        <v>56</v>
      </c>
      <c r="AC93" s="10"/>
    </row>
    <row r="94" s="2" customFormat="1" ht="115.5" hidden="1" spans="1:29">
      <c r="A94" s="10" t="s">
        <v>913</v>
      </c>
      <c r="B94" s="11" t="s">
        <v>1072</v>
      </c>
      <c r="C94" s="10" t="s">
        <v>1073</v>
      </c>
      <c r="D94" s="10" t="s">
        <v>1074</v>
      </c>
      <c r="E94" s="10"/>
      <c r="F94" s="12"/>
      <c r="G94" s="13"/>
      <c r="H94" s="15"/>
      <c r="I94" s="10"/>
      <c r="J94" s="10"/>
      <c r="K94" s="10"/>
      <c r="L94" s="10"/>
      <c r="M94" s="10"/>
      <c r="N94" s="10"/>
      <c r="O94" s="10"/>
      <c r="P94" s="10"/>
      <c r="Q94" s="10"/>
      <c r="R94" s="10"/>
      <c r="S94" s="10" t="s">
        <v>1081</v>
      </c>
      <c r="T94" s="10" t="s">
        <v>68</v>
      </c>
      <c r="U94" s="10" t="s">
        <v>1082</v>
      </c>
      <c r="V94" s="50" t="s">
        <v>136</v>
      </c>
      <c r="W94" s="23"/>
      <c r="X94" s="10" t="s">
        <v>1081</v>
      </c>
      <c r="Y94" s="10" t="s">
        <v>68</v>
      </c>
      <c r="Z94" s="10" t="str">
        <f>_xlfn.DISPIMG("ID_C66448048ED54B699CCE771FB4E3A92D",1)</f>
        <v>=DISPIMG("ID_C66448048ED54B699CCE771FB4E3A92D",1)</v>
      </c>
      <c r="AA94" s="10" t="s">
        <v>34</v>
      </c>
      <c r="AB94" s="10" t="s">
        <v>1083</v>
      </c>
      <c r="AC94" s="10"/>
    </row>
    <row r="95" s="2" customFormat="1" ht="118.35" hidden="1" spans="1:29">
      <c r="A95" s="10" t="s">
        <v>913</v>
      </c>
      <c r="B95" s="11" t="s">
        <v>1072</v>
      </c>
      <c r="C95" s="10" t="s">
        <v>1073</v>
      </c>
      <c r="D95" s="10" t="s">
        <v>1074</v>
      </c>
      <c r="E95" s="10"/>
      <c r="F95" s="12"/>
      <c r="G95" s="13"/>
      <c r="H95" s="15"/>
      <c r="I95" s="10"/>
      <c r="J95" s="10"/>
      <c r="K95" s="10"/>
      <c r="L95" s="10"/>
      <c r="M95" s="10"/>
      <c r="N95" s="10"/>
      <c r="O95" s="10"/>
      <c r="P95" s="10"/>
      <c r="Q95" s="10"/>
      <c r="R95" s="10"/>
      <c r="S95" s="10" t="s">
        <v>1084</v>
      </c>
      <c r="T95" s="10" t="s">
        <v>32</v>
      </c>
      <c r="U95" s="10" t="s">
        <v>1084</v>
      </c>
      <c r="V95" s="50" t="s">
        <v>33</v>
      </c>
      <c r="W95" s="23"/>
      <c r="X95" s="10" t="s">
        <v>1084</v>
      </c>
      <c r="Y95" s="10" t="s">
        <v>32</v>
      </c>
      <c r="Z95" s="10" t="str">
        <f>_xlfn.DISPIMG("ID_0CF78002522F408CA4A3A4A1289B2D27",1)</f>
        <v>=DISPIMG("ID_0CF78002522F408CA4A3A4A1289B2D27",1)</v>
      </c>
      <c r="AA95" s="10" t="s">
        <v>34</v>
      </c>
      <c r="AB95" s="10" t="s">
        <v>56</v>
      </c>
      <c r="AC95" s="10"/>
    </row>
    <row r="96" s="2" customFormat="1" ht="132" hidden="1" spans="1:29">
      <c r="A96" s="10" t="s">
        <v>913</v>
      </c>
      <c r="B96" s="11" t="s">
        <v>1072</v>
      </c>
      <c r="C96" s="10" t="s">
        <v>1073</v>
      </c>
      <c r="D96" s="10" t="s">
        <v>1074</v>
      </c>
      <c r="E96" s="10"/>
      <c r="F96" s="12"/>
      <c r="G96" s="13"/>
      <c r="H96" s="15"/>
      <c r="I96" s="10"/>
      <c r="J96" s="10"/>
      <c r="K96" s="10"/>
      <c r="L96" s="10"/>
      <c r="M96" s="10"/>
      <c r="N96" s="10"/>
      <c r="O96" s="10"/>
      <c r="P96" s="10"/>
      <c r="Q96" s="10"/>
      <c r="R96" s="10"/>
      <c r="S96" s="10" t="s">
        <v>1085</v>
      </c>
      <c r="T96" s="10" t="s">
        <v>68</v>
      </c>
      <c r="U96" s="10" t="s">
        <v>1086</v>
      </c>
      <c r="V96" s="50" t="s">
        <v>136</v>
      </c>
      <c r="W96" s="23"/>
      <c r="X96" s="10" t="s">
        <v>1085</v>
      </c>
      <c r="Y96" s="10" t="s">
        <v>68</v>
      </c>
      <c r="Z96" s="10" t="str">
        <f>_xlfn.DISPIMG("ID_DA06930E626A4AA69FA580BACB6A0D39",1)</f>
        <v>=DISPIMG("ID_DA06930E626A4AA69FA580BACB6A0D39",1)</v>
      </c>
      <c r="AA96" s="10" t="s">
        <v>34</v>
      </c>
      <c r="AB96" s="10" t="s">
        <v>1087</v>
      </c>
      <c r="AC96" s="10"/>
    </row>
    <row r="97" s="2" customFormat="1" ht="118.9" hidden="1" spans="1:29">
      <c r="A97" s="10" t="s">
        <v>913</v>
      </c>
      <c r="B97" s="11" t="s">
        <v>1072</v>
      </c>
      <c r="C97" s="10" t="s">
        <v>1073</v>
      </c>
      <c r="D97" s="10" t="s">
        <v>1074</v>
      </c>
      <c r="E97" s="10"/>
      <c r="F97" s="12"/>
      <c r="G97" s="13"/>
      <c r="H97" s="15"/>
      <c r="I97" s="10"/>
      <c r="J97" s="10"/>
      <c r="K97" s="10"/>
      <c r="L97" s="10"/>
      <c r="M97" s="10"/>
      <c r="N97" s="10"/>
      <c r="O97" s="10"/>
      <c r="P97" s="10"/>
      <c r="Q97" s="10"/>
      <c r="R97" s="10"/>
      <c r="S97" s="10" t="s">
        <v>1088</v>
      </c>
      <c r="T97" s="10" t="s">
        <v>32</v>
      </c>
      <c r="U97" s="10" t="s">
        <v>1088</v>
      </c>
      <c r="V97" s="50" t="s">
        <v>33</v>
      </c>
      <c r="W97" s="23"/>
      <c r="X97" s="10" t="s">
        <v>1088</v>
      </c>
      <c r="Y97" s="10" t="s">
        <v>32</v>
      </c>
      <c r="Z97" s="10" t="str">
        <f>_xlfn.DISPIMG("ID_BC42504DF6524D729202C62E33A76AB5",1)</f>
        <v>=DISPIMG("ID_BC42504DF6524D729202C62E33A76AB5",1)</v>
      </c>
      <c r="AA97" s="10" t="s">
        <v>34</v>
      </c>
      <c r="AB97" s="10" t="s">
        <v>56</v>
      </c>
      <c r="AC97" s="10"/>
    </row>
    <row r="98" s="2" customFormat="1" ht="111.35" hidden="1" spans="1:29">
      <c r="A98" s="10" t="s">
        <v>913</v>
      </c>
      <c r="B98" s="11" t="s">
        <v>1072</v>
      </c>
      <c r="C98" s="10" t="s">
        <v>1073</v>
      </c>
      <c r="D98" s="10" t="s">
        <v>1074</v>
      </c>
      <c r="E98" s="10"/>
      <c r="F98" s="12"/>
      <c r="G98" s="13"/>
      <c r="H98" s="15"/>
      <c r="I98" s="10"/>
      <c r="J98" s="10"/>
      <c r="K98" s="10"/>
      <c r="L98" s="10"/>
      <c r="M98" s="10"/>
      <c r="N98" s="10"/>
      <c r="O98" s="10"/>
      <c r="P98" s="10"/>
      <c r="Q98" s="10"/>
      <c r="R98" s="10"/>
      <c r="S98" s="10" t="s">
        <v>1089</v>
      </c>
      <c r="T98" s="10" t="s">
        <v>32</v>
      </c>
      <c r="U98" s="10" t="s">
        <v>1089</v>
      </c>
      <c r="V98" s="50" t="s">
        <v>33</v>
      </c>
      <c r="W98" s="23"/>
      <c r="X98" s="10" t="s">
        <v>1089</v>
      </c>
      <c r="Y98" s="10" t="s">
        <v>32</v>
      </c>
      <c r="Z98" s="10" t="str">
        <f>_xlfn.DISPIMG("ID_BC914FB4A12943A6A6D5B82CA0557288",1)</f>
        <v>=DISPIMG("ID_BC914FB4A12943A6A6D5B82CA0557288",1)</v>
      </c>
      <c r="AA98" s="10" t="s">
        <v>34</v>
      </c>
      <c r="AB98" s="10" t="s">
        <v>56</v>
      </c>
      <c r="AC98" s="10"/>
    </row>
    <row r="99" s="2" customFormat="1" ht="115.5" hidden="1" spans="1:29">
      <c r="A99" s="10" t="s">
        <v>913</v>
      </c>
      <c r="B99" s="11" t="s">
        <v>1072</v>
      </c>
      <c r="C99" s="10" t="s">
        <v>1073</v>
      </c>
      <c r="D99" s="10" t="s">
        <v>1074</v>
      </c>
      <c r="E99" s="10"/>
      <c r="F99" s="12"/>
      <c r="G99" s="13"/>
      <c r="H99" s="15"/>
      <c r="I99" s="10"/>
      <c r="J99" s="10"/>
      <c r="K99" s="10"/>
      <c r="L99" s="10"/>
      <c r="M99" s="10"/>
      <c r="N99" s="10"/>
      <c r="O99" s="10"/>
      <c r="P99" s="10"/>
      <c r="Q99" s="10"/>
      <c r="R99" s="10"/>
      <c r="S99" s="10" t="s">
        <v>1090</v>
      </c>
      <c r="T99" s="10" t="s">
        <v>68</v>
      </c>
      <c r="U99" s="10" t="s">
        <v>1091</v>
      </c>
      <c r="V99" s="50" t="s">
        <v>210</v>
      </c>
      <c r="W99" s="23"/>
      <c r="X99" s="10" t="s">
        <v>1090</v>
      </c>
      <c r="Y99" s="10" t="s">
        <v>68</v>
      </c>
      <c r="Z99" s="10" t="str">
        <f>_xlfn.DISPIMG("ID_A5D61572675B47328DA0C961FAA062D3",1)</f>
        <v>=DISPIMG("ID_A5D61572675B47328DA0C961FAA062D3",1)</v>
      </c>
      <c r="AA99" s="10" t="s">
        <v>34</v>
      </c>
      <c r="AB99" s="10" t="s">
        <v>1092</v>
      </c>
      <c r="AC99" s="10"/>
    </row>
    <row r="100" s="2" customFormat="1" ht="117.2" hidden="1" spans="1:29">
      <c r="A100" s="10" t="s">
        <v>913</v>
      </c>
      <c r="B100" s="11" t="s">
        <v>1072</v>
      </c>
      <c r="C100" s="10" t="s">
        <v>1073</v>
      </c>
      <c r="D100" s="10" t="s">
        <v>1074</v>
      </c>
      <c r="E100" s="10"/>
      <c r="F100" s="12"/>
      <c r="G100" s="13"/>
      <c r="H100" s="15"/>
      <c r="I100" s="10"/>
      <c r="J100" s="10"/>
      <c r="K100" s="10"/>
      <c r="L100" s="10"/>
      <c r="M100" s="10"/>
      <c r="N100" s="10"/>
      <c r="O100" s="10"/>
      <c r="P100" s="10"/>
      <c r="Q100" s="10"/>
      <c r="R100" s="10"/>
      <c r="S100" s="10" t="s">
        <v>1093</v>
      </c>
      <c r="T100" s="10" t="s">
        <v>32</v>
      </c>
      <c r="U100" s="10" t="s">
        <v>1093</v>
      </c>
      <c r="V100" s="50" t="s">
        <v>33</v>
      </c>
      <c r="W100" s="23"/>
      <c r="X100" s="10" t="s">
        <v>1093</v>
      </c>
      <c r="Y100" s="10" t="s">
        <v>32</v>
      </c>
      <c r="Z100" s="10" t="str">
        <f>_xlfn.DISPIMG("ID_7AAB8FD3C19D4864852D97FC07FF2856",1)</f>
        <v>=DISPIMG("ID_7AAB8FD3C19D4864852D97FC07FF2856",1)</v>
      </c>
      <c r="AA100" s="10" t="s">
        <v>34</v>
      </c>
      <c r="AB100" s="10" t="s">
        <v>56</v>
      </c>
      <c r="AC100" s="10"/>
    </row>
    <row r="101" s="2" customFormat="1" ht="118.75" hidden="1" spans="1:29">
      <c r="A101" s="10" t="s">
        <v>913</v>
      </c>
      <c r="B101" s="11" t="s">
        <v>1072</v>
      </c>
      <c r="C101" s="10" t="s">
        <v>1073</v>
      </c>
      <c r="D101" s="10" t="s">
        <v>1074</v>
      </c>
      <c r="E101" s="10"/>
      <c r="F101" s="12"/>
      <c r="G101" s="13"/>
      <c r="H101" s="16"/>
      <c r="I101" s="10"/>
      <c r="J101" s="10"/>
      <c r="K101" s="10"/>
      <c r="L101" s="10"/>
      <c r="M101" s="10"/>
      <c r="N101" s="10"/>
      <c r="O101" s="10"/>
      <c r="P101" s="10"/>
      <c r="Q101" s="10"/>
      <c r="R101" s="10"/>
      <c r="S101" s="10" t="s">
        <v>1094</v>
      </c>
      <c r="T101" s="10" t="s">
        <v>32</v>
      </c>
      <c r="U101" s="10" t="s">
        <v>1094</v>
      </c>
      <c r="V101" s="50" t="s">
        <v>33</v>
      </c>
      <c r="W101" s="23"/>
      <c r="X101" s="10" t="s">
        <v>1094</v>
      </c>
      <c r="Y101" s="10" t="s">
        <v>32</v>
      </c>
      <c r="Z101" s="10" t="str">
        <f>_xlfn.DISPIMG("ID_497AAC936DEC4BCA81D6D9386CB165A4",1)</f>
        <v>=DISPIMG("ID_497AAC936DEC4BCA81D6D9386CB165A4",1)</v>
      </c>
      <c r="AA101" s="10" t="s">
        <v>34</v>
      </c>
      <c r="AB101" s="10" t="s">
        <v>56</v>
      </c>
      <c r="AC101" s="10"/>
    </row>
    <row r="102" s="2" customFormat="1" ht="111" hidden="1" spans="1:29">
      <c r="A102" s="10" t="s">
        <v>913</v>
      </c>
      <c r="B102" s="11" t="s">
        <v>1072</v>
      </c>
      <c r="C102" s="10" t="s">
        <v>1073</v>
      </c>
      <c r="D102" s="10" t="s">
        <v>1095</v>
      </c>
      <c r="E102" s="10"/>
      <c r="F102" s="12"/>
      <c r="G102" s="13"/>
      <c r="H102" s="14" t="s">
        <v>1095</v>
      </c>
      <c r="I102" s="10"/>
      <c r="J102" s="10"/>
      <c r="K102" s="10"/>
      <c r="L102" s="10"/>
      <c r="M102" s="10"/>
      <c r="N102" s="10"/>
      <c r="O102" s="10"/>
      <c r="P102" s="10"/>
      <c r="Q102" s="10"/>
      <c r="R102" s="10"/>
      <c r="S102" s="10" t="s">
        <v>1096</v>
      </c>
      <c r="T102" s="10" t="s">
        <v>32</v>
      </c>
      <c r="U102" s="10" t="s">
        <v>1096</v>
      </c>
      <c r="V102" s="50" t="s">
        <v>33</v>
      </c>
      <c r="W102" s="23"/>
      <c r="X102" s="10" t="s">
        <v>1096</v>
      </c>
      <c r="Y102" s="10" t="s">
        <v>32</v>
      </c>
      <c r="Z102" s="10" t="str">
        <f>_xlfn.DISPIMG("ID_DBD79B15B01F4B749D20EBCC35A7E141",1)</f>
        <v>=DISPIMG("ID_DBD79B15B01F4B749D20EBCC35A7E141",1)</v>
      </c>
      <c r="AA102" s="10" t="s">
        <v>34</v>
      </c>
      <c r="AB102" s="10" t="s">
        <v>56</v>
      </c>
      <c r="AC102" s="10"/>
    </row>
    <row r="103" s="2" customFormat="1" ht="111.75" hidden="1" spans="1:29">
      <c r="A103" s="10" t="s">
        <v>913</v>
      </c>
      <c r="B103" s="11" t="s">
        <v>1072</v>
      </c>
      <c r="C103" s="10" t="s">
        <v>1073</v>
      </c>
      <c r="D103" s="10" t="s">
        <v>1095</v>
      </c>
      <c r="E103" s="10"/>
      <c r="F103" s="12"/>
      <c r="G103" s="13"/>
      <c r="H103" s="15"/>
      <c r="I103" s="10"/>
      <c r="J103" s="10"/>
      <c r="K103" s="10"/>
      <c r="L103" s="10"/>
      <c r="M103" s="10"/>
      <c r="N103" s="10"/>
      <c r="O103" s="10"/>
      <c r="P103" s="10"/>
      <c r="Q103" s="10"/>
      <c r="R103" s="10"/>
      <c r="S103" s="10" t="s">
        <v>1097</v>
      </c>
      <c r="T103" s="10" t="s">
        <v>32</v>
      </c>
      <c r="U103" s="10" t="s">
        <v>1097</v>
      </c>
      <c r="V103" s="50" t="s">
        <v>33</v>
      </c>
      <c r="W103" s="23"/>
      <c r="X103" s="10" t="s">
        <v>1097</v>
      </c>
      <c r="Y103" s="10" t="s">
        <v>32</v>
      </c>
      <c r="Z103" s="10" t="str">
        <f>_xlfn.DISPIMG("ID_7792912F3CB342EC8E26562BEFDAD387",1)</f>
        <v>=DISPIMG("ID_7792912F3CB342EC8E26562BEFDAD387",1)</v>
      </c>
      <c r="AA103" s="10" t="s">
        <v>34</v>
      </c>
      <c r="AB103" s="10" t="s">
        <v>56</v>
      </c>
      <c r="AC103" s="10"/>
    </row>
    <row r="104" s="2" customFormat="1" ht="231" hidden="1" spans="1:29">
      <c r="A104" s="10" t="s">
        <v>913</v>
      </c>
      <c r="B104" s="11" t="s">
        <v>1072</v>
      </c>
      <c r="C104" s="10" t="s">
        <v>1073</v>
      </c>
      <c r="D104" s="10" t="s">
        <v>1095</v>
      </c>
      <c r="E104" s="10"/>
      <c r="F104" s="12"/>
      <c r="G104" s="13"/>
      <c r="H104" s="16"/>
      <c r="I104" s="10"/>
      <c r="J104" s="10"/>
      <c r="K104" s="10"/>
      <c r="L104" s="10"/>
      <c r="M104" s="10"/>
      <c r="N104" s="10"/>
      <c r="O104" s="10"/>
      <c r="P104" s="10"/>
      <c r="Q104" s="10"/>
      <c r="R104" s="10"/>
      <c r="S104" s="10" t="s">
        <v>1098</v>
      </c>
      <c r="T104" s="10" t="s">
        <v>68</v>
      </c>
      <c r="U104" s="10" t="s">
        <v>1099</v>
      </c>
      <c r="V104" s="50" t="s">
        <v>269</v>
      </c>
      <c r="W104" s="23"/>
      <c r="X104" s="10" t="s">
        <v>1098</v>
      </c>
      <c r="Y104" s="10" t="s">
        <v>68</v>
      </c>
      <c r="Z104" s="10" t="str">
        <f>_xlfn.DISPIMG("ID_66010C6139BE48FCA3FA318013E8C80F",1)</f>
        <v>=DISPIMG("ID_66010C6139BE48FCA3FA318013E8C80F",1)</v>
      </c>
      <c r="AA104" s="10" t="s">
        <v>34</v>
      </c>
      <c r="AB104" s="10" t="s">
        <v>1100</v>
      </c>
      <c r="AC104" s="10"/>
    </row>
    <row r="105" s="2" customFormat="1" ht="103.65" hidden="1" spans="1:29">
      <c r="A105" s="10" t="s">
        <v>913</v>
      </c>
      <c r="B105" s="11" t="s">
        <v>1072</v>
      </c>
      <c r="C105" s="10" t="s">
        <v>1073</v>
      </c>
      <c r="D105" s="10" t="s">
        <v>1101</v>
      </c>
      <c r="E105" s="10"/>
      <c r="F105" s="12"/>
      <c r="G105" s="13"/>
      <c r="H105" s="10" t="s">
        <v>1101</v>
      </c>
      <c r="I105" s="10"/>
      <c r="J105" s="10"/>
      <c r="K105" s="10"/>
      <c r="L105" s="10"/>
      <c r="M105" s="10"/>
      <c r="N105" s="10"/>
      <c r="O105" s="10"/>
      <c r="P105" s="10"/>
      <c r="Q105" s="10"/>
      <c r="R105" s="10"/>
      <c r="S105" s="10" t="s">
        <v>1102</v>
      </c>
      <c r="T105" s="10" t="s">
        <v>32</v>
      </c>
      <c r="U105" s="10" t="s">
        <v>1102</v>
      </c>
      <c r="V105" s="50" t="s">
        <v>33</v>
      </c>
      <c r="W105" s="23"/>
      <c r="X105" s="10" t="s">
        <v>1102</v>
      </c>
      <c r="Y105" s="10" t="s">
        <v>32</v>
      </c>
      <c r="Z105" s="10" t="str">
        <f>_xlfn.DISPIMG("ID_5D70990B87B14628A71662E81DD38313",1)</f>
        <v>=DISPIMG("ID_5D70990B87B14628A71662E81DD38313",1)</v>
      </c>
      <c r="AA105" s="10" t="s">
        <v>34</v>
      </c>
      <c r="AB105" s="10" t="s">
        <v>56</v>
      </c>
      <c r="AC105" s="10"/>
    </row>
    <row r="106" s="2" customFormat="1" ht="101.65" hidden="1" spans="1:29">
      <c r="A106" s="10" t="s">
        <v>913</v>
      </c>
      <c r="B106" s="11" t="s">
        <v>1072</v>
      </c>
      <c r="C106" s="10" t="s">
        <v>1103</v>
      </c>
      <c r="D106" s="10" t="s">
        <v>1074</v>
      </c>
      <c r="E106" s="10"/>
      <c r="F106" s="12"/>
      <c r="G106" s="13"/>
      <c r="H106" s="14" t="s">
        <v>1074</v>
      </c>
      <c r="I106" s="10"/>
      <c r="J106" s="10"/>
      <c r="K106" s="10"/>
      <c r="L106" s="10"/>
      <c r="M106" s="10"/>
      <c r="N106" s="10"/>
      <c r="O106" s="10"/>
      <c r="P106" s="10"/>
      <c r="Q106" s="10"/>
      <c r="R106" s="10"/>
      <c r="S106" s="10" t="s">
        <v>1104</v>
      </c>
      <c r="T106" s="10" t="s">
        <v>32</v>
      </c>
      <c r="U106" s="10" t="s">
        <v>1104</v>
      </c>
      <c r="V106" s="50" t="s">
        <v>33</v>
      </c>
      <c r="W106" s="23"/>
      <c r="X106" s="10" t="s">
        <v>1104</v>
      </c>
      <c r="Y106" s="10" t="s">
        <v>32</v>
      </c>
      <c r="Z106" s="10" t="str">
        <f>_xlfn.DISPIMG("ID_BEEB05A316494647B7CA4D83BD3C43EF",1)</f>
        <v>=DISPIMG("ID_BEEB05A316494647B7CA4D83BD3C43EF",1)</v>
      </c>
      <c r="AA106" s="10" t="s">
        <v>34</v>
      </c>
      <c r="AB106" s="10" t="s">
        <v>56</v>
      </c>
      <c r="AC106" s="10"/>
    </row>
    <row r="107" s="2" customFormat="1" ht="110.85" hidden="1" spans="1:29">
      <c r="A107" s="10" t="s">
        <v>913</v>
      </c>
      <c r="B107" s="11" t="s">
        <v>1072</v>
      </c>
      <c r="C107" s="10" t="s">
        <v>1103</v>
      </c>
      <c r="D107" s="10" t="s">
        <v>1074</v>
      </c>
      <c r="E107" s="10"/>
      <c r="F107" s="12"/>
      <c r="G107" s="13"/>
      <c r="H107" s="15"/>
      <c r="I107" s="10"/>
      <c r="J107" s="10"/>
      <c r="K107" s="10"/>
      <c r="L107" s="10"/>
      <c r="M107" s="10"/>
      <c r="N107" s="10"/>
      <c r="O107" s="10"/>
      <c r="P107" s="10"/>
      <c r="Q107" s="10"/>
      <c r="R107" s="10"/>
      <c r="S107" s="10" t="s">
        <v>1105</v>
      </c>
      <c r="T107" s="10" t="s">
        <v>32</v>
      </c>
      <c r="U107" s="10" t="s">
        <v>1105</v>
      </c>
      <c r="V107" s="50" t="s">
        <v>33</v>
      </c>
      <c r="W107" s="23"/>
      <c r="X107" s="10" t="s">
        <v>1105</v>
      </c>
      <c r="Y107" s="10" t="s">
        <v>32</v>
      </c>
      <c r="Z107" s="10" t="str">
        <f>_xlfn.DISPIMG("ID_BBDCB05EBA0040CEA22AD51A3892BD76",1)</f>
        <v>=DISPIMG("ID_BBDCB05EBA0040CEA22AD51A3892BD76",1)</v>
      </c>
      <c r="AA107" s="10" t="s">
        <v>34</v>
      </c>
      <c r="AB107" s="10" t="s">
        <v>56</v>
      </c>
      <c r="AC107" s="10"/>
    </row>
    <row r="108" s="2" customFormat="1" ht="110.25" hidden="1" spans="1:29">
      <c r="A108" s="10" t="s">
        <v>913</v>
      </c>
      <c r="B108" s="11" t="s">
        <v>1072</v>
      </c>
      <c r="C108" s="10" t="s">
        <v>1103</v>
      </c>
      <c r="D108" s="10" t="s">
        <v>1074</v>
      </c>
      <c r="E108" s="10"/>
      <c r="F108" s="12"/>
      <c r="G108" s="13"/>
      <c r="H108" s="15"/>
      <c r="I108" s="10"/>
      <c r="J108" s="10"/>
      <c r="K108" s="10"/>
      <c r="L108" s="10"/>
      <c r="M108" s="10"/>
      <c r="N108" s="10"/>
      <c r="O108" s="10"/>
      <c r="P108" s="10"/>
      <c r="Q108" s="10"/>
      <c r="R108" s="10"/>
      <c r="S108" s="10" t="s">
        <v>1106</v>
      </c>
      <c r="T108" s="10" t="s">
        <v>32</v>
      </c>
      <c r="U108" s="10" t="s">
        <v>1106</v>
      </c>
      <c r="V108" s="50" t="s">
        <v>33</v>
      </c>
      <c r="W108" s="23"/>
      <c r="X108" s="10" t="s">
        <v>1106</v>
      </c>
      <c r="Y108" s="10" t="s">
        <v>32</v>
      </c>
      <c r="Z108" s="10" t="str">
        <f>_xlfn.DISPIMG("ID_90992A4B55B8418C9DB03F8C601DBDA3",1)</f>
        <v>=DISPIMG("ID_90992A4B55B8418C9DB03F8C601DBDA3",1)</v>
      </c>
      <c r="AA108" s="10" t="s">
        <v>34</v>
      </c>
      <c r="AB108" s="10" t="s">
        <v>56</v>
      </c>
      <c r="AC108" s="10"/>
    </row>
    <row r="109" s="2" customFormat="1" ht="280.5" hidden="1" spans="1:29">
      <c r="A109" s="10" t="s">
        <v>913</v>
      </c>
      <c r="B109" s="11" t="s">
        <v>1072</v>
      </c>
      <c r="C109" s="10" t="s">
        <v>1103</v>
      </c>
      <c r="D109" s="10" t="s">
        <v>1074</v>
      </c>
      <c r="E109" s="10"/>
      <c r="F109" s="12"/>
      <c r="G109" s="13"/>
      <c r="H109" s="15"/>
      <c r="I109" s="10"/>
      <c r="J109" s="10"/>
      <c r="K109" s="10"/>
      <c r="L109" s="10"/>
      <c r="M109" s="10"/>
      <c r="N109" s="10"/>
      <c r="O109" s="10"/>
      <c r="P109" s="10"/>
      <c r="Q109" s="10"/>
      <c r="R109" s="10"/>
      <c r="S109" s="10" t="s">
        <v>1107</v>
      </c>
      <c r="T109" s="10" t="s">
        <v>68</v>
      </c>
      <c r="U109" s="10" t="s">
        <v>1108</v>
      </c>
      <c r="V109" s="50" t="s">
        <v>210</v>
      </c>
      <c r="W109" s="23"/>
      <c r="X109" s="10" t="s">
        <v>1107</v>
      </c>
      <c r="Y109" s="10" t="s">
        <v>68</v>
      </c>
      <c r="Z109" s="10" t="str">
        <f>_xlfn.DISPIMG("ID_42B3B7BA50C44683A1DEBFF10AE43E29",1)</f>
        <v>=DISPIMG("ID_42B3B7BA50C44683A1DEBFF10AE43E29",1)</v>
      </c>
      <c r="AA109" s="10" t="s">
        <v>34</v>
      </c>
      <c r="AB109" s="10" t="s">
        <v>1109</v>
      </c>
      <c r="AC109" s="10"/>
    </row>
    <row r="110" s="2" customFormat="1" ht="108.8" hidden="1" spans="1:29">
      <c r="A110" s="10" t="s">
        <v>913</v>
      </c>
      <c r="B110" s="11" t="s">
        <v>1072</v>
      </c>
      <c r="C110" s="10" t="s">
        <v>1103</v>
      </c>
      <c r="D110" s="10" t="s">
        <v>1074</v>
      </c>
      <c r="E110" s="10"/>
      <c r="F110" s="12"/>
      <c r="G110" s="13"/>
      <c r="H110" s="16"/>
      <c r="I110" s="10"/>
      <c r="J110" s="10"/>
      <c r="K110" s="10"/>
      <c r="L110" s="10"/>
      <c r="M110" s="10"/>
      <c r="N110" s="10"/>
      <c r="O110" s="10"/>
      <c r="P110" s="10"/>
      <c r="Q110" s="10"/>
      <c r="R110" s="10"/>
      <c r="S110" s="10" t="s">
        <v>1110</v>
      </c>
      <c r="T110" s="10" t="s">
        <v>32</v>
      </c>
      <c r="U110" s="10" t="s">
        <v>1110</v>
      </c>
      <c r="V110" s="50" t="s">
        <v>33</v>
      </c>
      <c r="W110" s="23"/>
      <c r="X110" s="10" t="s">
        <v>1110</v>
      </c>
      <c r="Y110" s="10" t="s">
        <v>32</v>
      </c>
      <c r="Z110" s="10" t="str">
        <f>_xlfn.DISPIMG("ID_F60DB18BA82B43959B260C6172A18DED",1)</f>
        <v>=DISPIMG("ID_F60DB18BA82B43959B260C6172A18DED",1)</v>
      </c>
      <c r="AA110" s="10" t="s">
        <v>34</v>
      </c>
      <c r="AB110" s="10" t="s">
        <v>56</v>
      </c>
      <c r="AC110" s="10"/>
    </row>
    <row r="111" s="2" customFormat="1" ht="111.5" hidden="1" spans="1:29">
      <c r="A111" s="10" t="s">
        <v>913</v>
      </c>
      <c r="B111" s="11" t="s">
        <v>1072</v>
      </c>
      <c r="C111" s="10" t="s">
        <v>1103</v>
      </c>
      <c r="D111" s="10" t="s">
        <v>1095</v>
      </c>
      <c r="E111" s="10"/>
      <c r="F111" s="12"/>
      <c r="G111" s="13"/>
      <c r="H111" s="14" t="s">
        <v>1095</v>
      </c>
      <c r="I111" s="10"/>
      <c r="J111" s="10"/>
      <c r="K111" s="10"/>
      <c r="L111" s="10"/>
      <c r="M111" s="10"/>
      <c r="N111" s="10"/>
      <c r="O111" s="10"/>
      <c r="P111" s="10"/>
      <c r="Q111" s="10"/>
      <c r="R111" s="10"/>
      <c r="S111" s="10" t="s">
        <v>1111</v>
      </c>
      <c r="T111" s="10" t="s">
        <v>32</v>
      </c>
      <c r="U111" s="10" t="s">
        <v>1111</v>
      </c>
      <c r="V111" s="50" t="s">
        <v>33</v>
      </c>
      <c r="W111" s="23"/>
      <c r="X111" s="10" t="s">
        <v>1111</v>
      </c>
      <c r="Y111" s="10" t="s">
        <v>32</v>
      </c>
      <c r="Z111" s="10" t="str">
        <f>_xlfn.DISPIMG("ID_B105D4175DB948ADA595A69028412C3D",1)</f>
        <v>=DISPIMG("ID_B105D4175DB948ADA595A69028412C3D",1)</v>
      </c>
      <c r="AA111" s="10" t="s">
        <v>34</v>
      </c>
      <c r="AB111" s="10" t="s">
        <v>56</v>
      </c>
      <c r="AC111" s="10"/>
    </row>
    <row r="112" s="2" customFormat="1" ht="110.75" hidden="1" spans="1:29">
      <c r="A112" s="10" t="s">
        <v>913</v>
      </c>
      <c r="B112" s="11" t="s">
        <v>1072</v>
      </c>
      <c r="C112" s="10" t="s">
        <v>1103</v>
      </c>
      <c r="D112" s="10" t="s">
        <v>1095</v>
      </c>
      <c r="E112" s="10"/>
      <c r="F112" s="12"/>
      <c r="G112" s="13"/>
      <c r="H112" s="15"/>
      <c r="I112" s="10"/>
      <c r="J112" s="10"/>
      <c r="K112" s="10"/>
      <c r="L112" s="10"/>
      <c r="M112" s="10"/>
      <c r="N112" s="10"/>
      <c r="O112" s="10"/>
      <c r="P112" s="10"/>
      <c r="Q112" s="10"/>
      <c r="R112" s="10"/>
      <c r="S112" s="10" t="s">
        <v>1112</v>
      </c>
      <c r="T112" s="10" t="s">
        <v>32</v>
      </c>
      <c r="U112" s="10" t="s">
        <v>1112</v>
      </c>
      <c r="V112" s="50" t="s">
        <v>33</v>
      </c>
      <c r="W112" s="23"/>
      <c r="X112" s="10" t="s">
        <v>1112</v>
      </c>
      <c r="Y112" s="10" t="s">
        <v>32</v>
      </c>
      <c r="Z112" s="10" t="str">
        <f>_xlfn.DISPIMG("ID_997C620F6C5541E09E6942AB541EBF60",1)</f>
        <v>=DISPIMG("ID_997C620F6C5541E09E6942AB541EBF60",1)</v>
      </c>
      <c r="AA112" s="10" t="s">
        <v>34</v>
      </c>
      <c r="AB112" s="10" t="s">
        <v>56</v>
      </c>
      <c r="AC112" s="10"/>
    </row>
    <row r="113" s="2" customFormat="1" ht="225" hidden="1" spans="1:29">
      <c r="A113" s="10" t="s">
        <v>913</v>
      </c>
      <c r="B113" s="11" t="s">
        <v>1072</v>
      </c>
      <c r="C113" s="10" t="s">
        <v>1103</v>
      </c>
      <c r="D113" s="10" t="s">
        <v>1095</v>
      </c>
      <c r="E113" s="10"/>
      <c r="F113" s="12"/>
      <c r="G113" s="13"/>
      <c r="H113" s="16"/>
      <c r="I113" s="10"/>
      <c r="J113" s="10"/>
      <c r="K113" s="10"/>
      <c r="L113" s="10"/>
      <c r="M113" s="10"/>
      <c r="N113" s="10"/>
      <c r="O113" s="10"/>
      <c r="P113" s="10"/>
      <c r="Q113" s="10"/>
      <c r="R113" s="10"/>
      <c r="S113" s="10" t="s">
        <v>1113</v>
      </c>
      <c r="T113" s="10" t="s">
        <v>68</v>
      </c>
      <c r="U113" s="10" t="s">
        <v>1114</v>
      </c>
      <c r="V113" s="50" t="s">
        <v>269</v>
      </c>
      <c r="W113" s="23"/>
      <c r="X113" s="10" t="s">
        <v>1113</v>
      </c>
      <c r="Y113" s="10" t="s">
        <v>68</v>
      </c>
      <c r="Z113" s="10" t="str">
        <f>_xlfn.DISPIMG("ID_701816C38C5245FBBA772442534D53F7",1)</f>
        <v>=DISPIMG("ID_701816C38C5245FBBA772442534D53F7",1)</v>
      </c>
      <c r="AA113" s="10" t="s">
        <v>34</v>
      </c>
      <c r="AB113" s="10" t="s">
        <v>1115</v>
      </c>
      <c r="AC113" s="10"/>
    </row>
    <row r="114" s="2" customFormat="1" ht="109.9" hidden="1" spans="1:29">
      <c r="A114" s="10" t="s">
        <v>913</v>
      </c>
      <c r="B114" s="11" t="s">
        <v>1072</v>
      </c>
      <c r="C114" s="10" t="s">
        <v>1116</v>
      </c>
      <c r="D114" s="10" t="s">
        <v>1074</v>
      </c>
      <c r="E114" s="10"/>
      <c r="F114" s="12"/>
      <c r="G114" s="13"/>
      <c r="H114" s="14" t="s">
        <v>1074</v>
      </c>
      <c r="I114" s="10"/>
      <c r="J114" s="10"/>
      <c r="K114" s="10"/>
      <c r="L114" s="10"/>
      <c r="M114" s="10"/>
      <c r="N114" s="10"/>
      <c r="O114" s="10"/>
      <c r="P114" s="10"/>
      <c r="Q114" s="10"/>
      <c r="R114" s="10"/>
      <c r="S114" s="10" t="s">
        <v>1117</v>
      </c>
      <c r="T114" s="10" t="s">
        <v>32</v>
      </c>
      <c r="U114" s="10" t="s">
        <v>1117</v>
      </c>
      <c r="V114" s="50" t="s">
        <v>33</v>
      </c>
      <c r="W114" s="23"/>
      <c r="X114" s="10" t="s">
        <v>1117</v>
      </c>
      <c r="Y114" s="10" t="s">
        <v>32</v>
      </c>
      <c r="Z114" s="10" t="str">
        <f>_xlfn.DISPIMG("ID_377B5BF5C112494391A9677587BA2CA6",1)</f>
        <v>=DISPIMG("ID_377B5BF5C112494391A9677587BA2CA6",1)</v>
      </c>
      <c r="AA114" s="10" t="s">
        <v>34</v>
      </c>
      <c r="AB114" s="10" t="s">
        <v>56</v>
      </c>
      <c r="AC114" s="10"/>
    </row>
    <row r="115" s="2" customFormat="1" ht="119.15" hidden="1" spans="1:29">
      <c r="A115" s="10" t="s">
        <v>913</v>
      </c>
      <c r="B115" s="11" t="s">
        <v>1072</v>
      </c>
      <c r="C115" s="10" t="s">
        <v>1116</v>
      </c>
      <c r="D115" s="10" t="s">
        <v>1074</v>
      </c>
      <c r="E115" s="10"/>
      <c r="F115" s="12"/>
      <c r="G115" s="13"/>
      <c r="H115" s="15"/>
      <c r="I115" s="10"/>
      <c r="J115" s="10"/>
      <c r="K115" s="10"/>
      <c r="L115" s="10"/>
      <c r="M115" s="10"/>
      <c r="N115" s="10"/>
      <c r="O115" s="10"/>
      <c r="P115" s="10"/>
      <c r="Q115" s="10"/>
      <c r="R115" s="10"/>
      <c r="S115" s="10" t="s">
        <v>1118</v>
      </c>
      <c r="T115" s="10" t="s">
        <v>32</v>
      </c>
      <c r="U115" s="10" t="s">
        <v>1118</v>
      </c>
      <c r="V115" s="50" t="s">
        <v>33</v>
      </c>
      <c r="W115" s="23"/>
      <c r="X115" s="10" t="s">
        <v>1118</v>
      </c>
      <c r="Y115" s="10" t="s">
        <v>32</v>
      </c>
      <c r="Z115" s="10" t="str">
        <f>_xlfn.DISPIMG("ID_2B47AA92F8BC46EFBE22BE8364CC8876",1)</f>
        <v>=DISPIMG("ID_2B47AA92F8BC46EFBE22BE8364CC8876",1)</v>
      </c>
      <c r="AA115" s="10" t="s">
        <v>34</v>
      </c>
      <c r="AB115" s="10" t="s">
        <v>56</v>
      </c>
      <c r="AC115" s="10"/>
    </row>
    <row r="116" s="2" customFormat="1" ht="99.75" hidden="1" spans="1:29">
      <c r="A116" s="10" t="s">
        <v>913</v>
      </c>
      <c r="B116" s="11" t="s">
        <v>1072</v>
      </c>
      <c r="C116" s="10" t="s">
        <v>1116</v>
      </c>
      <c r="D116" s="10" t="s">
        <v>1074</v>
      </c>
      <c r="E116" s="10"/>
      <c r="F116" s="12"/>
      <c r="G116" s="13"/>
      <c r="H116" s="15"/>
      <c r="I116" s="10"/>
      <c r="J116" s="10"/>
      <c r="K116" s="10"/>
      <c r="L116" s="10"/>
      <c r="M116" s="10"/>
      <c r="N116" s="10"/>
      <c r="O116" s="10"/>
      <c r="P116" s="10"/>
      <c r="Q116" s="10"/>
      <c r="R116" s="10"/>
      <c r="S116" s="10" t="s">
        <v>1119</v>
      </c>
      <c r="T116" s="10" t="s">
        <v>68</v>
      </c>
      <c r="U116" s="24" t="s">
        <v>1120</v>
      </c>
      <c r="V116" s="50" t="s">
        <v>136</v>
      </c>
      <c r="W116" s="23"/>
      <c r="X116" s="10" t="s">
        <v>1119</v>
      </c>
      <c r="Y116" s="10" t="s">
        <v>68</v>
      </c>
      <c r="Z116" s="10" t="str">
        <f>_xlfn.DISPIMG("ID_A75552A983EE49C99E84BDE9611C5EB3",1)</f>
        <v>=DISPIMG("ID_A75552A983EE49C99E84BDE9611C5EB3",1)</v>
      </c>
      <c r="AA116" s="10" t="s">
        <v>34</v>
      </c>
      <c r="AB116" s="10" t="s">
        <v>1121</v>
      </c>
      <c r="AC116" s="10"/>
    </row>
    <row r="117" s="2" customFormat="1" ht="116.4" hidden="1" spans="1:29">
      <c r="A117" s="10" t="s">
        <v>913</v>
      </c>
      <c r="B117" s="11" t="s">
        <v>1072</v>
      </c>
      <c r="C117" s="10" t="s">
        <v>1116</v>
      </c>
      <c r="D117" s="10" t="s">
        <v>1074</v>
      </c>
      <c r="E117" s="10"/>
      <c r="F117" s="12"/>
      <c r="G117" s="13"/>
      <c r="H117" s="15"/>
      <c r="I117" s="10"/>
      <c r="J117" s="10"/>
      <c r="K117" s="10"/>
      <c r="L117" s="10"/>
      <c r="M117" s="10"/>
      <c r="N117" s="10"/>
      <c r="O117" s="10"/>
      <c r="P117" s="10"/>
      <c r="Q117" s="10"/>
      <c r="R117" s="10"/>
      <c r="S117" s="10" t="s">
        <v>1122</v>
      </c>
      <c r="T117" s="10" t="s">
        <v>32</v>
      </c>
      <c r="U117" s="10" t="s">
        <v>1122</v>
      </c>
      <c r="V117" s="50" t="s">
        <v>33</v>
      </c>
      <c r="W117" s="23"/>
      <c r="X117" s="10" t="s">
        <v>1122</v>
      </c>
      <c r="Y117" s="10" t="s">
        <v>32</v>
      </c>
      <c r="Z117" s="10" t="str">
        <f>_xlfn.DISPIMG("ID_A8C4A6CC55A7403F8156C778F6DD398C",1)</f>
        <v>=DISPIMG("ID_A8C4A6CC55A7403F8156C778F6DD398C",1)</v>
      </c>
      <c r="AA117" s="10" t="s">
        <v>34</v>
      </c>
      <c r="AB117" s="10" t="s">
        <v>56</v>
      </c>
      <c r="AC117" s="10"/>
    </row>
    <row r="118" s="2" customFormat="1" ht="171" hidden="1" spans="1:29">
      <c r="A118" s="10" t="s">
        <v>913</v>
      </c>
      <c r="B118" s="11" t="s">
        <v>1072</v>
      </c>
      <c r="C118" s="10" t="s">
        <v>1116</v>
      </c>
      <c r="D118" s="10" t="s">
        <v>1074</v>
      </c>
      <c r="E118" s="10"/>
      <c r="F118" s="12"/>
      <c r="G118" s="13"/>
      <c r="H118" s="15"/>
      <c r="I118" s="10"/>
      <c r="J118" s="10"/>
      <c r="K118" s="10"/>
      <c r="L118" s="10"/>
      <c r="M118" s="10"/>
      <c r="N118" s="10"/>
      <c r="O118" s="10"/>
      <c r="P118" s="10"/>
      <c r="Q118" s="10"/>
      <c r="R118" s="10"/>
      <c r="S118" s="10" t="s">
        <v>1123</v>
      </c>
      <c r="T118" s="10" t="s">
        <v>68</v>
      </c>
      <c r="U118" s="24" t="s">
        <v>1124</v>
      </c>
      <c r="V118" s="50" t="s">
        <v>136</v>
      </c>
      <c r="W118" s="23"/>
      <c r="X118" s="10" t="s">
        <v>1123</v>
      </c>
      <c r="Y118" s="10" t="s">
        <v>68</v>
      </c>
      <c r="Z118" s="10" t="str">
        <f>_xlfn.DISPIMG("ID_E844F55FCCEF4A30A40D8786A0312C12",1)</f>
        <v>=DISPIMG("ID_E844F55FCCEF4A30A40D8786A0312C12",1)</v>
      </c>
      <c r="AA118" s="10" t="s">
        <v>34</v>
      </c>
      <c r="AB118" s="10" t="s">
        <v>1125</v>
      </c>
      <c r="AC118" s="10"/>
    </row>
    <row r="119" s="2" customFormat="1" ht="110.35" hidden="1" spans="1:29">
      <c r="A119" s="10" t="s">
        <v>913</v>
      </c>
      <c r="B119" s="11" t="s">
        <v>1072</v>
      </c>
      <c r="C119" s="10" t="s">
        <v>1116</v>
      </c>
      <c r="D119" s="10" t="s">
        <v>1074</v>
      </c>
      <c r="E119" s="10"/>
      <c r="F119" s="12"/>
      <c r="G119" s="13"/>
      <c r="H119" s="15"/>
      <c r="I119" s="10"/>
      <c r="J119" s="10"/>
      <c r="K119" s="10"/>
      <c r="L119" s="10"/>
      <c r="M119" s="10"/>
      <c r="N119" s="10"/>
      <c r="O119" s="10"/>
      <c r="P119" s="10"/>
      <c r="Q119" s="10"/>
      <c r="R119" s="10"/>
      <c r="S119" s="10" t="s">
        <v>1126</v>
      </c>
      <c r="T119" s="10" t="s">
        <v>32</v>
      </c>
      <c r="U119" s="10" t="s">
        <v>1126</v>
      </c>
      <c r="V119" s="50" t="s">
        <v>33</v>
      </c>
      <c r="W119" s="23"/>
      <c r="X119" s="10" t="s">
        <v>1126</v>
      </c>
      <c r="Y119" s="10" t="s">
        <v>32</v>
      </c>
      <c r="Z119" s="10" t="str">
        <f>_xlfn.DISPIMG("ID_5042350166344434B007E346DC91E2C6",1)</f>
        <v>=DISPIMG("ID_5042350166344434B007E346DC91E2C6",1)</v>
      </c>
      <c r="AA119" s="10" t="s">
        <v>34</v>
      </c>
      <c r="AB119" s="10" t="s">
        <v>56</v>
      </c>
      <c r="AC119" s="10"/>
    </row>
    <row r="120" s="2" customFormat="1" ht="198" hidden="1" spans="1:29">
      <c r="A120" s="10" t="s">
        <v>913</v>
      </c>
      <c r="B120" s="11" t="s">
        <v>1072</v>
      </c>
      <c r="C120" s="10" t="s">
        <v>1116</v>
      </c>
      <c r="D120" s="10" t="s">
        <v>1074</v>
      </c>
      <c r="E120" s="10"/>
      <c r="F120" s="12"/>
      <c r="G120" s="13"/>
      <c r="H120" s="15"/>
      <c r="I120" s="10"/>
      <c r="J120" s="10"/>
      <c r="K120" s="10"/>
      <c r="L120" s="10"/>
      <c r="M120" s="10"/>
      <c r="N120" s="10"/>
      <c r="O120" s="10"/>
      <c r="P120" s="10"/>
      <c r="Q120" s="10"/>
      <c r="R120" s="10"/>
      <c r="S120" s="10" t="s">
        <v>1127</v>
      </c>
      <c r="T120" s="10" t="s">
        <v>68</v>
      </c>
      <c r="U120" s="10" t="s">
        <v>1128</v>
      </c>
      <c r="V120" s="50" t="s">
        <v>210</v>
      </c>
      <c r="W120" s="23"/>
      <c r="X120" s="10" t="s">
        <v>1127</v>
      </c>
      <c r="Y120" s="10" t="s">
        <v>68</v>
      </c>
      <c r="Z120" s="10" t="str">
        <f>_xlfn.DISPIMG("ID_0822BA47C51C4045934938832D953652",1)</f>
        <v>=DISPIMG("ID_0822BA47C51C4045934938832D953652",1)</v>
      </c>
      <c r="AA120" s="10" t="s">
        <v>34</v>
      </c>
      <c r="AB120" s="10" t="s">
        <v>1129</v>
      </c>
      <c r="AC120" s="10"/>
    </row>
    <row r="121" s="2" customFormat="1" ht="109" hidden="1" spans="1:29">
      <c r="A121" s="10" t="s">
        <v>913</v>
      </c>
      <c r="B121" s="11" t="s">
        <v>1072</v>
      </c>
      <c r="C121" s="10" t="s">
        <v>1116</v>
      </c>
      <c r="D121" s="10" t="s">
        <v>1074</v>
      </c>
      <c r="E121" s="10"/>
      <c r="F121" s="12"/>
      <c r="G121" s="13"/>
      <c r="H121" s="16"/>
      <c r="I121" s="10"/>
      <c r="J121" s="10"/>
      <c r="K121" s="10"/>
      <c r="L121" s="10"/>
      <c r="M121" s="10"/>
      <c r="N121" s="10"/>
      <c r="O121" s="10"/>
      <c r="P121" s="10"/>
      <c r="Q121" s="10"/>
      <c r="R121" s="10"/>
      <c r="S121" s="10" t="s">
        <v>1130</v>
      </c>
      <c r="T121" s="10" t="s">
        <v>32</v>
      </c>
      <c r="U121" s="10" t="s">
        <v>1130</v>
      </c>
      <c r="V121" s="50" t="s">
        <v>33</v>
      </c>
      <c r="W121" s="23"/>
      <c r="X121" s="10" t="s">
        <v>1130</v>
      </c>
      <c r="Y121" s="10" t="s">
        <v>32</v>
      </c>
      <c r="Z121" s="10" t="str">
        <f>_xlfn.DISPIMG("ID_3763FE47431B41B6BC5D7EAD6D672D91",1)</f>
        <v>=DISPIMG("ID_3763FE47431B41B6BC5D7EAD6D672D91",1)</v>
      </c>
      <c r="AA121" s="10" t="s">
        <v>34</v>
      </c>
      <c r="AB121" s="10" t="s">
        <v>56</v>
      </c>
      <c r="AC121" s="10"/>
    </row>
    <row r="122" s="2" customFormat="1" ht="109.55" hidden="1" spans="1:29">
      <c r="A122" s="10" t="s">
        <v>913</v>
      </c>
      <c r="B122" s="11" t="s">
        <v>1072</v>
      </c>
      <c r="C122" s="10" t="s">
        <v>1116</v>
      </c>
      <c r="D122" s="10" t="s">
        <v>1095</v>
      </c>
      <c r="E122" s="10"/>
      <c r="F122" s="12"/>
      <c r="G122" s="13"/>
      <c r="H122" s="14" t="s">
        <v>1095</v>
      </c>
      <c r="I122" s="10"/>
      <c r="J122" s="10"/>
      <c r="K122" s="10"/>
      <c r="L122" s="10"/>
      <c r="M122" s="10"/>
      <c r="N122" s="10"/>
      <c r="O122" s="10"/>
      <c r="P122" s="10"/>
      <c r="Q122" s="10"/>
      <c r="R122" s="10"/>
      <c r="S122" s="10" t="s">
        <v>1131</v>
      </c>
      <c r="T122" s="10" t="s">
        <v>32</v>
      </c>
      <c r="U122" s="10" t="s">
        <v>1131</v>
      </c>
      <c r="V122" s="50" t="s">
        <v>33</v>
      </c>
      <c r="W122" s="23"/>
      <c r="X122" s="10" t="s">
        <v>1131</v>
      </c>
      <c r="Y122" s="10" t="s">
        <v>32</v>
      </c>
      <c r="Z122" s="10" t="str">
        <f>_xlfn.DISPIMG("ID_F010160E49C741E992E09A9A7C835FCD",1)</f>
        <v>=DISPIMG("ID_F010160E49C741E992E09A9A7C835FCD",1)</v>
      </c>
      <c r="AA122" s="10" t="s">
        <v>34</v>
      </c>
      <c r="AB122" s="10" t="s">
        <v>56</v>
      </c>
      <c r="AC122" s="10"/>
    </row>
    <row r="123" s="2" customFormat="1" ht="109.3" hidden="1" spans="1:29">
      <c r="A123" s="10" t="s">
        <v>913</v>
      </c>
      <c r="B123" s="11" t="s">
        <v>1072</v>
      </c>
      <c r="C123" s="10" t="s">
        <v>1116</v>
      </c>
      <c r="D123" s="10" t="s">
        <v>1095</v>
      </c>
      <c r="E123" s="10"/>
      <c r="F123" s="12"/>
      <c r="G123" s="13"/>
      <c r="H123" s="15"/>
      <c r="I123" s="10"/>
      <c r="J123" s="10"/>
      <c r="K123" s="10"/>
      <c r="L123" s="10"/>
      <c r="M123" s="10"/>
      <c r="N123" s="10"/>
      <c r="O123" s="10"/>
      <c r="P123" s="10"/>
      <c r="Q123" s="10"/>
      <c r="R123" s="10"/>
      <c r="S123" s="10" t="s">
        <v>1132</v>
      </c>
      <c r="T123" s="10" t="s">
        <v>32</v>
      </c>
      <c r="U123" s="10" t="s">
        <v>1132</v>
      </c>
      <c r="V123" s="50" t="s">
        <v>33</v>
      </c>
      <c r="W123" s="23"/>
      <c r="X123" s="10" t="s">
        <v>1132</v>
      </c>
      <c r="Y123" s="10" t="s">
        <v>32</v>
      </c>
      <c r="Z123" s="10" t="str">
        <f>_xlfn.DISPIMG("ID_3A28D8030FF246AC9B105D695DBEADD3",1)</f>
        <v>=DISPIMG("ID_3A28D8030FF246AC9B105D695DBEADD3",1)</v>
      </c>
      <c r="AA123" s="10" t="s">
        <v>34</v>
      </c>
      <c r="AB123" s="10" t="s">
        <v>56</v>
      </c>
      <c r="AC123" s="10"/>
    </row>
    <row r="124" s="2" customFormat="1" ht="66" hidden="1" spans="1:29">
      <c r="A124" s="10" t="s">
        <v>913</v>
      </c>
      <c r="B124" s="11" t="s">
        <v>1072</v>
      </c>
      <c r="C124" s="10" t="s">
        <v>1116</v>
      </c>
      <c r="D124" s="10" t="s">
        <v>1095</v>
      </c>
      <c r="E124" s="10"/>
      <c r="F124" s="12"/>
      <c r="G124" s="13"/>
      <c r="H124" s="16"/>
      <c r="I124" s="10"/>
      <c r="J124" s="10"/>
      <c r="K124" s="10"/>
      <c r="L124" s="10"/>
      <c r="M124" s="10"/>
      <c r="N124" s="10"/>
      <c r="O124" s="10"/>
      <c r="P124" s="10"/>
      <c r="Q124" s="10"/>
      <c r="R124" s="10"/>
      <c r="S124" s="10" t="s">
        <v>1133</v>
      </c>
      <c r="T124" s="10" t="s">
        <v>68</v>
      </c>
      <c r="U124" s="10" t="s">
        <v>1134</v>
      </c>
      <c r="V124" s="50" t="s">
        <v>269</v>
      </c>
      <c r="W124" s="23"/>
      <c r="X124" s="10" t="s">
        <v>1133</v>
      </c>
      <c r="Y124" s="10" t="s">
        <v>68</v>
      </c>
      <c r="Z124" s="10" t="str">
        <f>_xlfn.DISPIMG("ID_4B00AED0DF8247F0A678F66868693601",1)</f>
        <v>=DISPIMG("ID_4B00AED0DF8247F0A678F66868693601",1)</v>
      </c>
      <c r="AA124" s="10" t="s">
        <v>34</v>
      </c>
      <c r="AB124" s="10" t="s">
        <v>1135</v>
      </c>
      <c r="AC124" s="10"/>
    </row>
    <row r="125" s="2" customFormat="1" ht="152.2" hidden="1" spans="1:29">
      <c r="A125" s="10" t="s">
        <v>913</v>
      </c>
      <c r="B125" s="11" t="s">
        <v>1072</v>
      </c>
      <c r="C125" s="10" t="s">
        <v>1136</v>
      </c>
      <c r="D125" s="10" t="s">
        <v>1074</v>
      </c>
      <c r="E125" s="10"/>
      <c r="F125" s="12"/>
      <c r="G125" s="13"/>
      <c r="H125" s="14" t="s">
        <v>1074</v>
      </c>
      <c r="I125" s="10"/>
      <c r="J125" s="10"/>
      <c r="K125" s="10"/>
      <c r="L125" s="10"/>
      <c r="M125" s="10"/>
      <c r="N125" s="10"/>
      <c r="O125" s="10"/>
      <c r="P125" s="10"/>
      <c r="Q125" s="10"/>
      <c r="R125" s="10"/>
      <c r="S125" s="10" t="s">
        <v>1137</v>
      </c>
      <c r="T125" s="10" t="s">
        <v>32</v>
      </c>
      <c r="U125" s="10" t="s">
        <v>1137</v>
      </c>
      <c r="V125" s="50" t="s">
        <v>33</v>
      </c>
      <c r="W125" s="23"/>
      <c r="X125" s="10" t="s">
        <v>1137</v>
      </c>
      <c r="Y125" s="10" t="s">
        <v>32</v>
      </c>
      <c r="Z125" s="10" t="str">
        <f>_xlfn.DISPIMG("ID_4BBC6EE3B15745B9B44ED00C7CE04302",1)</f>
        <v>=DISPIMG("ID_4BBC6EE3B15745B9B44ED00C7CE04302",1)</v>
      </c>
      <c r="AA125" s="10" t="s">
        <v>34</v>
      </c>
      <c r="AB125" s="10" t="s">
        <v>56</v>
      </c>
      <c r="AC125" s="10" t="s">
        <v>1138</v>
      </c>
    </row>
    <row r="126" s="2" customFormat="1" ht="110.75" hidden="1" spans="1:29">
      <c r="A126" s="10" t="s">
        <v>913</v>
      </c>
      <c r="B126" s="11" t="s">
        <v>1072</v>
      </c>
      <c r="C126" s="10" t="s">
        <v>1136</v>
      </c>
      <c r="D126" s="10" t="s">
        <v>1074</v>
      </c>
      <c r="E126" s="10"/>
      <c r="F126" s="12"/>
      <c r="G126" s="13"/>
      <c r="H126" s="15"/>
      <c r="I126" s="10"/>
      <c r="J126" s="10"/>
      <c r="K126" s="10"/>
      <c r="L126" s="10"/>
      <c r="M126" s="10"/>
      <c r="N126" s="10"/>
      <c r="O126" s="10"/>
      <c r="P126" s="10"/>
      <c r="Q126" s="10"/>
      <c r="R126" s="10"/>
      <c r="S126" s="10" t="s">
        <v>1139</v>
      </c>
      <c r="T126" s="10" t="s">
        <v>32</v>
      </c>
      <c r="U126" s="10" t="s">
        <v>1139</v>
      </c>
      <c r="V126" s="50" t="s">
        <v>33</v>
      </c>
      <c r="W126" s="23"/>
      <c r="X126" s="10" t="s">
        <v>1139</v>
      </c>
      <c r="Y126" s="10" t="s">
        <v>32</v>
      </c>
      <c r="Z126" s="10" t="str">
        <f>_xlfn.DISPIMG("ID_55614466C34149A1A09B09179E8BCA7B",1)</f>
        <v>=DISPIMG("ID_55614466C34149A1A09B09179E8BCA7B",1)</v>
      </c>
      <c r="AA126" s="10" t="s">
        <v>34</v>
      </c>
      <c r="AB126" s="10" t="s">
        <v>56</v>
      </c>
      <c r="AC126" s="10" t="s">
        <v>1138</v>
      </c>
    </row>
    <row r="127" s="2" customFormat="1" ht="111.6" hidden="1" spans="1:29">
      <c r="A127" s="10" t="s">
        <v>913</v>
      </c>
      <c r="B127" s="11" t="s">
        <v>1072</v>
      </c>
      <c r="C127" s="10" t="s">
        <v>1136</v>
      </c>
      <c r="D127" s="10" t="s">
        <v>1074</v>
      </c>
      <c r="E127" s="10"/>
      <c r="F127" s="12"/>
      <c r="G127" s="13"/>
      <c r="H127" s="16"/>
      <c r="I127" s="10"/>
      <c r="J127" s="10"/>
      <c r="K127" s="10"/>
      <c r="L127" s="10"/>
      <c r="M127" s="10"/>
      <c r="N127" s="10"/>
      <c r="O127" s="10"/>
      <c r="P127" s="10"/>
      <c r="Q127" s="10"/>
      <c r="R127" s="10"/>
      <c r="S127" s="10" t="s">
        <v>1140</v>
      </c>
      <c r="T127" s="10" t="s">
        <v>32</v>
      </c>
      <c r="U127" s="10" t="s">
        <v>1140</v>
      </c>
      <c r="V127" s="50" t="s">
        <v>33</v>
      </c>
      <c r="W127" s="23"/>
      <c r="X127" s="10" t="s">
        <v>1140</v>
      </c>
      <c r="Y127" s="10" t="s">
        <v>32</v>
      </c>
      <c r="Z127" s="10" t="str">
        <f>_xlfn.DISPIMG("ID_F136662883214EEB9E0BEC315D108E6C",1)</f>
        <v>=DISPIMG("ID_F136662883214EEB9E0BEC315D108E6C",1)</v>
      </c>
      <c r="AA127" s="10" t="s">
        <v>34</v>
      </c>
      <c r="AB127" s="10" t="s">
        <v>56</v>
      </c>
      <c r="AC127" s="10" t="s">
        <v>1138</v>
      </c>
    </row>
    <row r="128" s="2" customFormat="1" ht="110.9" hidden="1" spans="1:29">
      <c r="A128" s="10" t="s">
        <v>913</v>
      </c>
      <c r="B128" s="11" t="s">
        <v>1072</v>
      </c>
      <c r="C128" s="10" t="s">
        <v>1136</v>
      </c>
      <c r="D128" s="10" t="s">
        <v>1095</v>
      </c>
      <c r="E128" s="10"/>
      <c r="F128" s="12"/>
      <c r="G128" s="13"/>
      <c r="H128" s="14" t="s">
        <v>1095</v>
      </c>
      <c r="I128" s="10"/>
      <c r="J128" s="10"/>
      <c r="K128" s="10"/>
      <c r="L128" s="10"/>
      <c r="M128" s="10"/>
      <c r="N128" s="10"/>
      <c r="O128" s="10"/>
      <c r="P128" s="10"/>
      <c r="Q128" s="10"/>
      <c r="R128" s="10"/>
      <c r="S128" s="10" t="s">
        <v>1141</v>
      </c>
      <c r="T128" s="10" t="s">
        <v>32</v>
      </c>
      <c r="U128" s="10" t="s">
        <v>1141</v>
      </c>
      <c r="V128" s="50" t="s">
        <v>33</v>
      </c>
      <c r="W128" s="23"/>
      <c r="X128" s="10" t="s">
        <v>1141</v>
      </c>
      <c r="Y128" s="10" t="s">
        <v>32</v>
      </c>
      <c r="Z128" s="10" t="str">
        <f>_xlfn.DISPIMG("ID_A18128851B07499ABFF13ADA13F88B22",1)</f>
        <v>=DISPIMG("ID_A18128851B07499ABFF13ADA13F88B22",1)</v>
      </c>
      <c r="AA128" s="10" t="s">
        <v>34</v>
      </c>
      <c r="AB128" s="10" t="s">
        <v>56</v>
      </c>
      <c r="AC128" s="10" t="s">
        <v>1138</v>
      </c>
    </row>
    <row r="129" s="2" customFormat="1" ht="108.35" hidden="1" spans="1:29">
      <c r="A129" s="10" t="s">
        <v>913</v>
      </c>
      <c r="B129" s="11" t="s">
        <v>1072</v>
      </c>
      <c r="C129" s="10" t="s">
        <v>1136</v>
      </c>
      <c r="D129" s="10" t="s">
        <v>1095</v>
      </c>
      <c r="E129" s="10"/>
      <c r="F129" s="12"/>
      <c r="G129" s="13"/>
      <c r="H129" s="15"/>
      <c r="I129" s="10"/>
      <c r="J129" s="10"/>
      <c r="K129" s="10"/>
      <c r="L129" s="10"/>
      <c r="M129" s="10"/>
      <c r="N129" s="10"/>
      <c r="O129" s="10"/>
      <c r="P129" s="10"/>
      <c r="Q129" s="10"/>
      <c r="R129" s="10"/>
      <c r="S129" s="10" t="s">
        <v>1142</v>
      </c>
      <c r="T129" s="10" t="s">
        <v>32</v>
      </c>
      <c r="U129" s="10" t="s">
        <v>1142</v>
      </c>
      <c r="V129" s="50" t="s">
        <v>33</v>
      </c>
      <c r="W129" s="23"/>
      <c r="X129" s="10" t="s">
        <v>1142</v>
      </c>
      <c r="Y129" s="10" t="s">
        <v>32</v>
      </c>
      <c r="Z129" s="10" t="str">
        <f>_xlfn.DISPIMG("ID_AE01477AB0B349988EC39A9606733738",1)</f>
        <v>=DISPIMG("ID_AE01477AB0B349988EC39A9606733738",1)</v>
      </c>
      <c r="AA129" s="10" t="s">
        <v>34</v>
      </c>
      <c r="AB129" s="10" t="s">
        <v>56</v>
      </c>
      <c r="AC129" s="10" t="s">
        <v>1138</v>
      </c>
    </row>
    <row r="130" s="2" customFormat="1" ht="99" hidden="1" spans="1:29">
      <c r="A130" s="10" t="s">
        <v>913</v>
      </c>
      <c r="B130" s="11" t="s">
        <v>1072</v>
      </c>
      <c r="C130" s="10" t="s">
        <v>1136</v>
      </c>
      <c r="D130" s="10" t="s">
        <v>1095</v>
      </c>
      <c r="E130" s="10"/>
      <c r="F130" s="12"/>
      <c r="G130" s="13"/>
      <c r="H130" s="16"/>
      <c r="I130" s="10"/>
      <c r="J130" s="10"/>
      <c r="K130" s="10"/>
      <c r="L130" s="10"/>
      <c r="M130" s="10"/>
      <c r="N130" s="10"/>
      <c r="O130" s="10"/>
      <c r="P130" s="10"/>
      <c r="Q130" s="10"/>
      <c r="R130" s="10"/>
      <c r="S130" s="10" t="s">
        <v>1143</v>
      </c>
      <c r="T130" s="10" t="s">
        <v>68</v>
      </c>
      <c r="U130" s="28" t="s">
        <v>1144</v>
      </c>
      <c r="V130" s="50" t="s">
        <v>269</v>
      </c>
      <c r="W130" s="23"/>
      <c r="X130" s="10" t="s">
        <v>1143</v>
      </c>
      <c r="Y130" s="10" t="s">
        <v>68</v>
      </c>
      <c r="Z130" s="10" t="str">
        <f>_xlfn.DISPIMG("ID_A46E7AA05B0D4E9C87C170985952BC24",1)</f>
        <v>=DISPIMG("ID_A46E7AA05B0D4E9C87C170985952BC24",1)</v>
      </c>
      <c r="AA130" s="10" t="s">
        <v>34</v>
      </c>
      <c r="AB130" s="10" t="s">
        <v>1145</v>
      </c>
      <c r="AC130" s="10"/>
    </row>
    <row r="131" s="2" customFormat="1" ht="117.85" hidden="1" spans="1:29">
      <c r="A131" s="10" t="s">
        <v>913</v>
      </c>
      <c r="B131" s="11" t="s">
        <v>1072</v>
      </c>
      <c r="C131" s="10" t="s">
        <v>1146</v>
      </c>
      <c r="D131" s="10" t="s">
        <v>1074</v>
      </c>
      <c r="E131" s="10"/>
      <c r="F131" s="12"/>
      <c r="G131" s="13"/>
      <c r="H131" s="14" t="s">
        <v>1074</v>
      </c>
      <c r="I131" s="10"/>
      <c r="J131" s="10"/>
      <c r="K131" s="10"/>
      <c r="L131" s="10"/>
      <c r="M131" s="10"/>
      <c r="N131" s="10"/>
      <c r="O131" s="10"/>
      <c r="P131" s="10"/>
      <c r="Q131" s="10"/>
      <c r="R131" s="10"/>
      <c r="S131" s="10" t="s">
        <v>1147</v>
      </c>
      <c r="T131" s="10" t="s">
        <v>32</v>
      </c>
      <c r="U131" s="10" t="s">
        <v>1147</v>
      </c>
      <c r="V131" s="50" t="s">
        <v>33</v>
      </c>
      <c r="W131" s="23"/>
      <c r="X131" s="10" t="s">
        <v>1147</v>
      </c>
      <c r="Y131" s="10" t="s">
        <v>32</v>
      </c>
      <c r="Z131" s="10" t="str">
        <f>_xlfn.DISPIMG("ID_676D40DCE0564ED088482F6AED51E1CD",1)</f>
        <v>=DISPIMG("ID_676D40DCE0564ED088482F6AED51E1CD",1)</v>
      </c>
      <c r="AA131" s="10" t="s">
        <v>34</v>
      </c>
      <c r="AB131" s="10" t="s">
        <v>56</v>
      </c>
      <c r="AC131" s="10"/>
    </row>
    <row r="132" s="2" customFormat="1" ht="118.9" hidden="1" spans="1:29">
      <c r="A132" s="10" t="s">
        <v>913</v>
      </c>
      <c r="B132" s="11" t="s">
        <v>1072</v>
      </c>
      <c r="C132" s="10" t="s">
        <v>1146</v>
      </c>
      <c r="D132" s="10" t="s">
        <v>1074</v>
      </c>
      <c r="E132" s="10"/>
      <c r="F132" s="12"/>
      <c r="G132" s="13"/>
      <c r="H132" s="15"/>
      <c r="I132" s="10"/>
      <c r="J132" s="10"/>
      <c r="K132" s="10"/>
      <c r="L132" s="10"/>
      <c r="M132" s="10"/>
      <c r="N132" s="10"/>
      <c r="O132" s="10"/>
      <c r="P132" s="10"/>
      <c r="Q132" s="10"/>
      <c r="R132" s="10"/>
      <c r="S132" s="10" t="s">
        <v>1148</v>
      </c>
      <c r="T132" s="10" t="s">
        <v>32</v>
      </c>
      <c r="U132" s="10" t="s">
        <v>1148</v>
      </c>
      <c r="V132" s="50" t="s">
        <v>33</v>
      </c>
      <c r="W132" s="23"/>
      <c r="X132" s="10" t="s">
        <v>1148</v>
      </c>
      <c r="Y132" s="10" t="s">
        <v>32</v>
      </c>
      <c r="Z132" s="10" t="str">
        <f>_xlfn.DISPIMG("ID_4EB19293A178460198A2981E2F750FED",1)</f>
        <v>=DISPIMG("ID_4EB19293A178460198A2981E2F750FED",1)</v>
      </c>
      <c r="AA132" s="10" t="s">
        <v>34</v>
      </c>
      <c r="AB132" s="10" t="s">
        <v>56</v>
      </c>
      <c r="AC132" s="10"/>
    </row>
    <row r="133" s="2" customFormat="1" ht="117.55" hidden="1" spans="1:29">
      <c r="A133" s="10" t="s">
        <v>913</v>
      </c>
      <c r="B133" s="11" t="s">
        <v>1072</v>
      </c>
      <c r="C133" s="10" t="s">
        <v>1146</v>
      </c>
      <c r="D133" s="10" t="s">
        <v>1074</v>
      </c>
      <c r="E133" s="10"/>
      <c r="F133" s="12"/>
      <c r="G133" s="13"/>
      <c r="H133" s="15"/>
      <c r="I133" s="10"/>
      <c r="J133" s="10"/>
      <c r="K133" s="10"/>
      <c r="L133" s="10"/>
      <c r="M133" s="10"/>
      <c r="N133" s="10"/>
      <c r="O133" s="10"/>
      <c r="P133" s="10"/>
      <c r="Q133" s="10"/>
      <c r="R133" s="10"/>
      <c r="S133" s="10" t="s">
        <v>1149</v>
      </c>
      <c r="T133" s="10" t="s">
        <v>32</v>
      </c>
      <c r="U133" s="10" t="s">
        <v>1149</v>
      </c>
      <c r="V133" s="50" t="s">
        <v>33</v>
      </c>
      <c r="W133" s="23"/>
      <c r="X133" s="10" t="s">
        <v>1149</v>
      </c>
      <c r="Y133" s="10" t="s">
        <v>32</v>
      </c>
      <c r="Z133" s="10" t="str">
        <f>_xlfn.DISPIMG("ID_5E5AF448E9E84240AFDB77F4C74CFEEF",1)</f>
        <v>=DISPIMG("ID_5E5AF448E9E84240AFDB77F4C74CFEEF",1)</v>
      </c>
      <c r="AA133" s="10" t="s">
        <v>34</v>
      </c>
      <c r="AB133" s="10" t="s">
        <v>56</v>
      </c>
      <c r="AC133" s="10"/>
    </row>
    <row r="134" s="2" customFormat="1" ht="120.1" hidden="1" spans="1:29">
      <c r="A134" s="10" t="s">
        <v>913</v>
      </c>
      <c r="B134" s="11" t="s">
        <v>1072</v>
      </c>
      <c r="C134" s="10" t="s">
        <v>1146</v>
      </c>
      <c r="D134" s="10" t="s">
        <v>1074</v>
      </c>
      <c r="E134" s="10"/>
      <c r="F134" s="12"/>
      <c r="G134" s="13"/>
      <c r="H134" s="15"/>
      <c r="I134" s="10"/>
      <c r="J134" s="10"/>
      <c r="K134" s="10"/>
      <c r="L134" s="10"/>
      <c r="M134" s="10"/>
      <c r="N134" s="10"/>
      <c r="O134" s="10"/>
      <c r="P134" s="10"/>
      <c r="Q134" s="10"/>
      <c r="R134" s="10"/>
      <c r="S134" s="10" t="s">
        <v>1150</v>
      </c>
      <c r="T134" s="10" t="s">
        <v>32</v>
      </c>
      <c r="U134" s="10" t="s">
        <v>1150</v>
      </c>
      <c r="V134" s="50" t="s">
        <v>33</v>
      </c>
      <c r="W134" s="23"/>
      <c r="X134" s="10" t="s">
        <v>1150</v>
      </c>
      <c r="Y134" s="10" t="s">
        <v>32</v>
      </c>
      <c r="Z134" s="10" t="str">
        <f>_xlfn.DISPIMG("ID_4A5D1AF109064CB29217A9501924C719",1)</f>
        <v>=DISPIMG("ID_4A5D1AF109064CB29217A9501924C719",1)</v>
      </c>
      <c r="AA134" s="10" t="s">
        <v>34</v>
      </c>
      <c r="AB134" s="10" t="s">
        <v>56</v>
      </c>
      <c r="AC134" s="10"/>
    </row>
    <row r="135" s="2" customFormat="1" ht="119.1" hidden="1" spans="1:29">
      <c r="A135" s="10" t="s">
        <v>913</v>
      </c>
      <c r="B135" s="11" t="s">
        <v>1072</v>
      </c>
      <c r="C135" s="10" t="s">
        <v>1146</v>
      </c>
      <c r="D135" s="10" t="s">
        <v>1074</v>
      </c>
      <c r="E135" s="10"/>
      <c r="F135" s="12"/>
      <c r="G135" s="13"/>
      <c r="H135" s="15"/>
      <c r="I135" s="10"/>
      <c r="J135" s="10"/>
      <c r="K135" s="10"/>
      <c r="L135" s="10"/>
      <c r="M135" s="10"/>
      <c r="N135" s="10"/>
      <c r="O135" s="10"/>
      <c r="P135" s="10"/>
      <c r="Q135" s="10"/>
      <c r="R135" s="10"/>
      <c r="S135" s="10" t="s">
        <v>1151</v>
      </c>
      <c r="T135" s="10" t="s">
        <v>32</v>
      </c>
      <c r="U135" s="10" t="s">
        <v>1151</v>
      </c>
      <c r="V135" s="50" t="s">
        <v>33</v>
      </c>
      <c r="W135" s="23"/>
      <c r="X135" s="10" t="s">
        <v>1151</v>
      </c>
      <c r="Y135" s="10" t="s">
        <v>32</v>
      </c>
      <c r="Z135" s="10" t="str">
        <f>_xlfn.DISPIMG("ID_2655E751EEA94C49985DB5E482D8ED5E",1)</f>
        <v>=DISPIMG("ID_2655E751EEA94C49985DB5E482D8ED5E",1)</v>
      </c>
      <c r="AA135" s="10" t="s">
        <v>34</v>
      </c>
      <c r="AB135" s="10" t="s">
        <v>56</v>
      </c>
      <c r="AC135" s="10"/>
    </row>
    <row r="136" s="2" customFormat="1" ht="82.5" hidden="1" spans="1:29">
      <c r="A136" s="10" t="s">
        <v>913</v>
      </c>
      <c r="B136" s="11" t="s">
        <v>1072</v>
      </c>
      <c r="C136" s="10" t="s">
        <v>1146</v>
      </c>
      <c r="D136" s="10" t="s">
        <v>1074</v>
      </c>
      <c r="E136" s="10"/>
      <c r="F136" s="12"/>
      <c r="G136" s="13"/>
      <c r="H136" s="15"/>
      <c r="I136" s="10"/>
      <c r="J136" s="10"/>
      <c r="K136" s="10"/>
      <c r="L136" s="10"/>
      <c r="M136" s="10"/>
      <c r="N136" s="10"/>
      <c r="O136" s="10"/>
      <c r="P136" s="10"/>
      <c r="Q136" s="10"/>
      <c r="R136" s="10"/>
      <c r="S136" s="10" t="s">
        <v>1152</v>
      </c>
      <c r="T136" s="10" t="s">
        <v>68</v>
      </c>
      <c r="U136" s="28" t="s">
        <v>1153</v>
      </c>
      <c r="V136" s="50" t="s">
        <v>136</v>
      </c>
      <c r="W136" s="23"/>
      <c r="X136" s="10" t="s">
        <v>1152</v>
      </c>
      <c r="Y136" s="10" t="s">
        <v>68</v>
      </c>
      <c r="Z136" s="10" t="str">
        <f>_xlfn.DISPIMG("ID_712FE2215FEA483CB3F49C7332CD04F7",1)</f>
        <v>=DISPIMG("ID_712FE2215FEA483CB3F49C7332CD04F7",1)</v>
      </c>
      <c r="AA136" s="10" t="s">
        <v>34</v>
      </c>
      <c r="AB136" s="10" t="s">
        <v>1154</v>
      </c>
      <c r="AC136" s="10"/>
    </row>
    <row r="137" s="2" customFormat="1" ht="118.1" hidden="1" spans="1:29">
      <c r="A137" s="10" t="s">
        <v>913</v>
      </c>
      <c r="B137" s="11" t="s">
        <v>1072</v>
      </c>
      <c r="C137" s="10" t="s">
        <v>1146</v>
      </c>
      <c r="D137" s="10" t="s">
        <v>1074</v>
      </c>
      <c r="E137" s="10"/>
      <c r="F137" s="12"/>
      <c r="G137" s="13"/>
      <c r="H137" s="15"/>
      <c r="I137" s="10"/>
      <c r="J137" s="10"/>
      <c r="K137" s="10"/>
      <c r="L137" s="10"/>
      <c r="M137" s="10"/>
      <c r="N137" s="10"/>
      <c r="O137" s="10"/>
      <c r="P137" s="10"/>
      <c r="Q137" s="10"/>
      <c r="R137" s="10"/>
      <c r="S137" s="10" t="s">
        <v>1155</v>
      </c>
      <c r="T137" s="10" t="s">
        <v>32</v>
      </c>
      <c r="U137" s="10" t="s">
        <v>1155</v>
      </c>
      <c r="V137" s="50" t="s">
        <v>33</v>
      </c>
      <c r="W137" s="23"/>
      <c r="X137" s="10" t="s">
        <v>1155</v>
      </c>
      <c r="Y137" s="10" t="s">
        <v>32</v>
      </c>
      <c r="Z137" s="10" t="str">
        <f>_xlfn.DISPIMG("ID_6F41740307174736989E6BBA16EB9C52",1)</f>
        <v>=DISPIMG("ID_6F41740307174736989E6BBA16EB9C52",1)</v>
      </c>
      <c r="AA137" s="10" t="s">
        <v>34</v>
      </c>
      <c r="AB137" s="10" t="s">
        <v>56</v>
      </c>
      <c r="AC137" s="10"/>
    </row>
    <row r="138" s="2" customFormat="1" ht="165.95" hidden="1" spans="1:29">
      <c r="A138" s="10" t="s">
        <v>913</v>
      </c>
      <c r="B138" s="11" t="s">
        <v>1072</v>
      </c>
      <c r="C138" s="10" t="s">
        <v>1146</v>
      </c>
      <c r="D138" s="10" t="s">
        <v>1074</v>
      </c>
      <c r="E138" s="10"/>
      <c r="F138" s="12"/>
      <c r="G138" s="13"/>
      <c r="H138" s="15"/>
      <c r="I138" s="10"/>
      <c r="J138" s="10"/>
      <c r="K138" s="10"/>
      <c r="L138" s="10"/>
      <c r="M138" s="10"/>
      <c r="N138" s="10"/>
      <c r="O138" s="10"/>
      <c r="P138" s="10"/>
      <c r="Q138" s="10"/>
      <c r="R138" s="10"/>
      <c r="S138" s="10" t="s">
        <v>1156</v>
      </c>
      <c r="T138" s="10" t="s">
        <v>68</v>
      </c>
      <c r="U138" s="28" t="s">
        <v>1157</v>
      </c>
      <c r="V138" s="50" t="s">
        <v>269</v>
      </c>
      <c r="W138" s="23"/>
      <c r="X138" s="10" t="s">
        <v>1156</v>
      </c>
      <c r="Y138" s="10" t="s">
        <v>68</v>
      </c>
      <c r="Z138" s="10" t="str">
        <f>_xlfn.DISPIMG("ID_F8EBD87318C143828176EF3844B5E54C",1)</f>
        <v>=DISPIMG("ID_F8EBD87318C143828176EF3844B5E54C",1)</v>
      </c>
      <c r="AA138" s="10" t="s">
        <v>34</v>
      </c>
      <c r="AB138" s="10" t="s">
        <v>1158</v>
      </c>
      <c r="AC138" s="10"/>
    </row>
    <row r="139" s="2" customFormat="1" ht="118.35" hidden="1" spans="1:29">
      <c r="A139" s="10" t="s">
        <v>913</v>
      </c>
      <c r="B139" s="11" t="s">
        <v>1072</v>
      </c>
      <c r="C139" s="10" t="s">
        <v>1146</v>
      </c>
      <c r="D139" s="10" t="s">
        <v>1074</v>
      </c>
      <c r="E139" s="10"/>
      <c r="F139" s="12"/>
      <c r="G139" s="13"/>
      <c r="H139" s="15"/>
      <c r="I139" s="10"/>
      <c r="J139" s="10"/>
      <c r="K139" s="10"/>
      <c r="L139" s="10"/>
      <c r="M139" s="10"/>
      <c r="N139" s="10"/>
      <c r="O139" s="10"/>
      <c r="P139" s="10"/>
      <c r="Q139" s="10"/>
      <c r="R139" s="10"/>
      <c r="S139" s="10" t="s">
        <v>1159</v>
      </c>
      <c r="T139" s="10" t="s">
        <v>32</v>
      </c>
      <c r="U139" s="10" t="s">
        <v>1159</v>
      </c>
      <c r="V139" s="50" t="s">
        <v>33</v>
      </c>
      <c r="W139" s="23"/>
      <c r="X139" s="10" t="s">
        <v>1159</v>
      </c>
      <c r="Y139" s="10" t="s">
        <v>32</v>
      </c>
      <c r="Z139" s="10" t="str">
        <f>_xlfn.DISPIMG("ID_C58EAEB72F3848D5B10822829F4912EC",1)</f>
        <v>=DISPIMG("ID_C58EAEB72F3848D5B10822829F4912EC",1)</v>
      </c>
      <c r="AA139" s="10" t="s">
        <v>34</v>
      </c>
      <c r="AB139" s="10" t="s">
        <v>56</v>
      </c>
      <c r="AC139" s="10"/>
    </row>
    <row r="140" s="2" customFormat="1" ht="119.9" hidden="1" spans="1:29">
      <c r="A140" s="10" t="s">
        <v>913</v>
      </c>
      <c r="B140" s="11" t="s">
        <v>1072</v>
      </c>
      <c r="C140" s="10" t="s">
        <v>1146</v>
      </c>
      <c r="D140" s="10" t="s">
        <v>1074</v>
      </c>
      <c r="E140" s="10"/>
      <c r="F140" s="12"/>
      <c r="G140" s="13"/>
      <c r="H140" s="15"/>
      <c r="I140" s="10"/>
      <c r="J140" s="10"/>
      <c r="K140" s="10"/>
      <c r="L140" s="10"/>
      <c r="M140" s="10"/>
      <c r="N140" s="10"/>
      <c r="O140" s="10"/>
      <c r="P140" s="10"/>
      <c r="Q140" s="10"/>
      <c r="R140" s="10"/>
      <c r="S140" s="10" t="s">
        <v>1160</v>
      </c>
      <c r="T140" s="10" t="s">
        <v>32</v>
      </c>
      <c r="U140" s="10" t="s">
        <v>1160</v>
      </c>
      <c r="V140" s="50" t="s">
        <v>33</v>
      </c>
      <c r="W140" s="23"/>
      <c r="X140" s="10" t="s">
        <v>1160</v>
      </c>
      <c r="Y140" s="10" t="s">
        <v>32</v>
      </c>
      <c r="Z140" s="10" t="str">
        <f>_xlfn.DISPIMG("ID_41EA253B27604154A7926E378A2B5B3F",1)</f>
        <v>=DISPIMG("ID_41EA253B27604154A7926E378A2B5B3F",1)</v>
      </c>
      <c r="AA140" s="10" t="s">
        <v>34</v>
      </c>
      <c r="AB140" s="10" t="s">
        <v>56</v>
      </c>
      <c r="AC140" s="10"/>
    </row>
    <row r="141" s="2" customFormat="1" ht="119" hidden="1" spans="1:29">
      <c r="A141" s="10" t="s">
        <v>913</v>
      </c>
      <c r="B141" s="11" t="s">
        <v>1072</v>
      </c>
      <c r="C141" s="10" t="s">
        <v>1146</v>
      </c>
      <c r="D141" s="10" t="s">
        <v>1074</v>
      </c>
      <c r="E141" s="10"/>
      <c r="F141" s="12"/>
      <c r="G141" s="13"/>
      <c r="H141" s="15"/>
      <c r="I141" s="10"/>
      <c r="J141" s="10"/>
      <c r="K141" s="10"/>
      <c r="L141" s="10"/>
      <c r="M141" s="10"/>
      <c r="N141" s="10"/>
      <c r="O141" s="10"/>
      <c r="P141" s="10"/>
      <c r="Q141" s="10"/>
      <c r="R141" s="10"/>
      <c r="S141" s="10" t="s">
        <v>1161</v>
      </c>
      <c r="T141" s="10" t="s">
        <v>32</v>
      </c>
      <c r="U141" s="10" t="s">
        <v>1161</v>
      </c>
      <c r="V141" s="50" t="s">
        <v>33</v>
      </c>
      <c r="W141" s="23"/>
      <c r="X141" s="10" t="s">
        <v>1161</v>
      </c>
      <c r="Y141" s="10" t="s">
        <v>32</v>
      </c>
      <c r="Z141" s="10" t="str">
        <f>_xlfn.DISPIMG("ID_C5036CAB6D0F4EDEA928193378A4368C",1)</f>
        <v>=DISPIMG("ID_C5036CAB6D0F4EDEA928193378A4368C",1)</v>
      </c>
      <c r="AA141" s="10" t="s">
        <v>34</v>
      </c>
      <c r="AB141" s="10" t="s">
        <v>56</v>
      </c>
      <c r="AC141" s="10"/>
    </row>
    <row r="142" s="2" customFormat="1" ht="117.8" hidden="1" spans="1:29">
      <c r="A142" s="10" t="s">
        <v>913</v>
      </c>
      <c r="B142" s="11" t="s">
        <v>1072</v>
      </c>
      <c r="C142" s="10" t="s">
        <v>1146</v>
      </c>
      <c r="D142" s="10" t="s">
        <v>1074</v>
      </c>
      <c r="E142" s="10"/>
      <c r="F142" s="12"/>
      <c r="G142" s="13"/>
      <c r="H142" s="15"/>
      <c r="I142" s="10"/>
      <c r="J142" s="10"/>
      <c r="K142" s="10"/>
      <c r="L142" s="10"/>
      <c r="M142" s="10"/>
      <c r="N142" s="10"/>
      <c r="O142" s="10"/>
      <c r="P142" s="10"/>
      <c r="Q142" s="10"/>
      <c r="R142" s="10"/>
      <c r="S142" s="10" t="s">
        <v>1162</v>
      </c>
      <c r="T142" s="10" t="s">
        <v>32</v>
      </c>
      <c r="U142" s="10" t="s">
        <v>1162</v>
      </c>
      <c r="V142" s="50" t="s">
        <v>33</v>
      </c>
      <c r="W142" s="23"/>
      <c r="X142" s="10" t="s">
        <v>1162</v>
      </c>
      <c r="Y142" s="10" t="s">
        <v>32</v>
      </c>
      <c r="Z142" s="10" t="str">
        <f>_xlfn.DISPIMG("ID_038A411F19734527B65F3DDABA5EF9B0",1)</f>
        <v>=DISPIMG("ID_038A411F19734527B65F3DDABA5EF9B0",1)</v>
      </c>
      <c r="AA142" s="10" t="s">
        <v>34</v>
      </c>
      <c r="AB142" s="10" t="s">
        <v>56</v>
      </c>
      <c r="AC142" s="10"/>
    </row>
    <row r="143" s="2" customFormat="1" ht="99" hidden="1" spans="1:29">
      <c r="A143" s="10" t="s">
        <v>913</v>
      </c>
      <c r="B143" s="11" t="s">
        <v>1072</v>
      </c>
      <c r="C143" s="10" t="s">
        <v>1146</v>
      </c>
      <c r="D143" s="10" t="s">
        <v>1074</v>
      </c>
      <c r="E143" s="10"/>
      <c r="F143" s="12"/>
      <c r="G143" s="13"/>
      <c r="H143" s="16"/>
      <c r="I143" s="10"/>
      <c r="J143" s="10"/>
      <c r="K143" s="10"/>
      <c r="L143" s="10"/>
      <c r="M143" s="10"/>
      <c r="N143" s="10"/>
      <c r="O143" s="10"/>
      <c r="P143" s="10"/>
      <c r="Q143" s="10"/>
      <c r="R143" s="10"/>
      <c r="S143" s="10" t="s">
        <v>1163</v>
      </c>
      <c r="T143" s="10" t="s">
        <v>68</v>
      </c>
      <c r="U143" s="28" t="s">
        <v>1164</v>
      </c>
      <c r="V143" s="50" t="s">
        <v>269</v>
      </c>
      <c r="W143" s="23"/>
      <c r="X143" s="10" t="s">
        <v>1163</v>
      </c>
      <c r="Y143" s="10" t="s">
        <v>68</v>
      </c>
      <c r="Z143" s="10" t="str">
        <f>_xlfn.DISPIMG("ID_765761D82DF14402AAABC0659C7BE1DD",1)</f>
        <v>=DISPIMG("ID_765761D82DF14402AAABC0659C7BE1DD",1)</v>
      </c>
      <c r="AA143" s="10" t="s">
        <v>34</v>
      </c>
      <c r="AB143" s="10" t="s">
        <v>1165</v>
      </c>
      <c r="AC143" s="10"/>
    </row>
    <row r="144" s="2" customFormat="1" ht="106.4" hidden="1" spans="1:29">
      <c r="A144" s="10" t="s">
        <v>913</v>
      </c>
      <c r="B144" s="11" t="s">
        <v>1072</v>
      </c>
      <c r="C144" s="10" t="s">
        <v>1146</v>
      </c>
      <c r="D144" s="10" t="s">
        <v>1095</v>
      </c>
      <c r="E144" s="10"/>
      <c r="F144" s="12"/>
      <c r="G144" s="13"/>
      <c r="H144" s="10" t="s">
        <v>1095</v>
      </c>
      <c r="I144" s="10"/>
      <c r="J144" s="10"/>
      <c r="K144" s="10"/>
      <c r="L144" s="10"/>
      <c r="M144" s="10"/>
      <c r="N144" s="10"/>
      <c r="O144" s="10"/>
      <c r="P144" s="10"/>
      <c r="Q144" s="10"/>
      <c r="R144" s="10"/>
      <c r="S144" s="10" t="s">
        <v>1166</v>
      </c>
      <c r="T144" s="10" t="s">
        <v>32</v>
      </c>
      <c r="U144" s="10" t="s">
        <v>1166</v>
      </c>
      <c r="V144" s="50" t="s">
        <v>33</v>
      </c>
      <c r="W144" s="23"/>
      <c r="X144" s="10" t="s">
        <v>1166</v>
      </c>
      <c r="Y144" s="10" t="s">
        <v>32</v>
      </c>
      <c r="Z144" s="10" t="str">
        <f>_xlfn.DISPIMG("ID_826F82EB736D479BA8AF39BE8FF1ED89",1)</f>
        <v>=DISPIMG("ID_826F82EB736D479BA8AF39BE8FF1ED89",1)</v>
      </c>
      <c r="AA144" s="10" t="s">
        <v>34</v>
      </c>
      <c r="AB144" s="10" t="s">
        <v>56</v>
      </c>
      <c r="AC144" s="10"/>
    </row>
    <row r="145" s="2" customFormat="1" ht="104.5" hidden="1" spans="1:29">
      <c r="A145" s="10" t="s">
        <v>913</v>
      </c>
      <c r="B145" s="11" t="s">
        <v>1072</v>
      </c>
      <c r="C145" s="10" t="s">
        <v>1146</v>
      </c>
      <c r="D145" s="10" t="s">
        <v>1101</v>
      </c>
      <c r="E145" s="10"/>
      <c r="F145" s="12"/>
      <c r="G145" s="13"/>
      <c r="H145" s="10" t="s">
        <v>1101</v>
      </c>
      <c r="I145" s="10"/>
      <c r="J145" s="10"/>
      <c r="K145" s="10"/>
      <c r="L145" s="10"/>
      <c r="M145" s="10"/>
      <c r="N145" s="10"/>
      <c r="O145" s="10"/>
      <c r="P145" s="10"/>
      <c r="Q145" s="10"/>
      <c r="R145" s="10"/>
      <c r="S145" s="10" t="s">
        <v>1167</v>
      </c>
      <c r="T145" s="10" t="s">
        <v>32</v>
      </c>
      <c r="U145" s="10" t="s">
        <v>1167</v>
      </c>
      <c r="V145" s="50" t="s">
        <v>33</v>
      </c>
      <c r="W145" s="23"/>
      <c r="X145" s="10" t="s">
        <v>1167</v>
      </c>
      <c r="Y145" s="10" t="s">
        <v>32</v>
      </c>
      <c r="Z145" s="10" t="str">
        <f>_xlfn.DISPIMG("ID_B9460A107FAB4CBEB85CDD24824C4C35",1)</f>
        <v>=DISPIMG("ID_B9460A107FAB4CBEB85CDD24824C4C35",1)</v>
      </c>
      <c r="AA145" s="10" t="s">
        <v>34</v>
      </c>
      <c r="AB145" s="10" t="s">
        <v>56</v>
      </c>
      <c r="AC145" s="10"/>
    </row>
    <row r="146" s="2" customFormat="1" ht="112.4" hidden="1" spans="1:29">
      <c r="A146" s="10" t="s">
        <v>913</v>
      </c>
      <c r="B146" s="11" t="s">
        <v>1072</v>
      </c>
      <c r="C146" s="10" t="s">
        <v>1168</v>
      </c>
      <c r="D146" s="10" t="s">
        <v>1074</v>
      </c>
      <c r="E146" s="10"/>
      <c r="F146" s="12"/>
      <c r="G146" s="13"/>
      <c r="H146" s="14" t="s">
        <v>1074</v>
      </c>
      <c r="I146" s="10"/>
      <c r="J146" s="10"/>
      <c r="K146" s="10"/>
      <c r="L146" s="10"/>
      <c r="M146" s="10"/>
      <c r="N146" s="10"/>
      <c r="O146" s="10"/>
      <c r="P146" s="10"/>
      <c r="Q146" s="10"/>
      <c r="R146" s="10"/>
      <c r="S146" s="10" t="s">
        <v>1169</v>
      </c>
      <c r="T146" s="10" t="s">
        <v>32</v>
      </c>
      <c r="U146" s="10" t="s">
        <v>1169</v>
      </c>
      <c r="V146" s="50" t="s">
        <v>33</v>
      </c>
      <c r="W146" s="23"/>
      <c r="X146" s="10" t="s">
        <v>1169</v>
      </c>
      <c r="Y146" s="10" t="s">
        <v>32</v>
      </c>
      <c r="Z146" s="10" t="str">
        <f>_xlfn.DISPIMG("ID_2BBB982F02AE46308195DEC9DC4CE0F3",1)</f>
        <v>=DISPIMG("ID_2BBB982F02AE46308195DEC9DC4CE0F3",1)</v>
      </c>
      <c r="AA146" s="10" t="s">
        <v>34</v>
      </c>
      <c r="AB146" s="10" t="s">
        <v>56</v>
      </c>
      <c r="AC146" s="10"/>
    </row>
    <row r="147" s="2" customFormat="1" ht="110.3" hidden="1" spans="1:29">
      <c r="A147" s="10" t="s">
        <v>913</v>
      </c>
      <c r="B147" s="11" t="s">
        <v>1072</v>
      </c>
      <c r="C147" s="10" t="s">
        <v>1168</v>
      </c>
      <c r="D147" s="10" t="s">
        <v>1074</v>
      </c>
      <c r="E147" s="10"/>
      <c r="F147" s="12"/>
      <c r="G147" s="13"/>
      <c r="H147" s="16"/>
      <c r="I147" s="10"/>
      <c r="J147" s="10"/>
      <c r="K147" s="10"/>
      <c r="L147" s="10"/>
      <c r="M147" s="10"/>
      <c r="N147" s="10"/>
      <c r="O147" s="10"/>
      <c r="P147" s="10"/>
      <c r="Q147" s="10"/>
      <c r="R147" s="10"/>
      <c r="S147" s="10" t="s">
        <v>1170</v>
      </c>
      <c r="T147" s="10" t="s">
        <v>32</v>
      </c>
      <c r="U147" s="10" t="s">
        <v>1170</v>
      </c>
      <c r="V147" s="50" t="s">
        <v>33</v>
      </c>
      <c r="W147" s="23"/>
      <c r="X147" s="10" t="s">
        <v>1170</v>
      </c>
      <c r="Y147" s="10" t="s">
        <v>32</v>
      </c>
      <c r="Z147" s="10" t="str">
        <f>_xlfn.DISPIMG("ID_E5C70D8182054D24AAC49164ED34A531",1)</f>
        <v>=DISPIMG("ID_E5C70D8182054D24AAC49164ED34A531",1)</v>
      </c>
      <c r="AA147" s="10" t="s">
        <v>34</v>
      </c>
      <c r="AB147" s="10" t="s">
        <v>56</v>
      </c>
      <c r="AC147" s="10"/>
    </row>
    <row r="148" s="2" customFormat="1" ht="112.2" hidden="1" spans="1:29">
      <c r="A148" s="10" t="s">
        <v>913</v>
      </c>
      <c r="B148" s="11" t="s">
        <v>1072</v>
      </c>
      <c r="C148" s="10" t="s">
        <v>1168</v>
      </c>
      <c r="D148" s="10" t="s">
        <v>1095</v>
      </c>
      <c r="E148" s="10"/>
      <c r="F148" s="12"/>
      <c r="G148" s="13"/>
      <c r="H148" s="14" t="s">
        <v>1095</v>
      </c>
      <c r="I148" s="10"/>
      <c r="J148" s="10"/>
      <c r="K148" s="10"/>
      <c r="L148" s="10"/>
      <c r="M148" s="10"/>
      <c r="N148" s="10"/>
      <c r="O148" s="10"/>
      <c r="P148" s="10"/>
      <c r="Q148" s="10"/>
      <c r="R148" s="10"/>
      <c r="S148" s="10" t="s">
        <v>1171</v>
      </c>
      <c r="T148" s="10" t="s">
        <v>32</v>
      </c>
      <c r="U148" s="10" t="s">
        <v>1171</v>
      </c>
      <c r="V148" s="50" t="s">
        <v>33</v>
      </c>
      <c r="W148" s="23"/>
      <c r="X148" s="10" t="s">
        <v>1171</v>
      </c>
      <c r="Y148" s="10" t="s">
        <v>32</v>
      </c>
      <c r="Z148" s="10" t="str">
        <f>_xlfn.DISPIMG("ID_EC649A31834A4240B5A330D27C0A60E0",1)</f>
        <v>=DISPIMG("ID_EC649A31834A4240B5A330D27C0A60E0",1)</v>
      </c>
      <c r="AA148" s="10" t="s">
        <v>34</v>
      </c>
      <c r="AB148" s="10" t="s">
        <v>56</v>
      </c>
      <c r="AC148" s="10"/>
    </row>
    <row r="149" s="2" customFormat="1" ht="66" hidden="1" spans="1:29">
      <c r="A149" s="10" t="s">
        <v>913</v>
      </c>
      <c r="B149" s="11" t="s">
        <v>1072</v>
      </c>
      <c r="C149" s="10" t="s">
        <v>1168</v>
      </c>
      <c r="D149" s="10" t="s">
        <v>1095</v>
      </c>
      <c r="E149" s="10"/>
      <c r="F149" s="12"/>
      <c r="G149" s="13"/>
      <c r="H149" s="15"/>
      <c r="I149" s="10"/>
      <c r="J149" s="10"/>
      <c r="K149" s="10"/>
      <c r="L149" s="10"/>
      <c r="M149" s="10"/>
      <c r="N149" s="10"/>
      <c r="O149" s="10"/>
      <c r="P149" s="10"/>
      <c r="Q149" s="10"/>
      <c r="R149" s="10"/>
      <c r="S149" s="10" t="s">
        <v>1172</v>
      </c>
      <c r="T149" s="10" t="s">
        <v>68</v>
      </c>
      <c r="U149" s="28" t="s">
        <v>1173</v>
      </c>
      <c r="V149" s="50" t="s">
        <v>210</v>
      </c>
      <c r="W149" s="23"/>
      <c r="X149" s="10" t="s">
        <v>1172</v>
      </c>
      <c r="Y149" s="10" t="s">
        <v>68</v>
      </c>
      <c r="Z149" s="10" t="str">
        <f>_xlfn.DISPIMG("ID_F72D8ED31FFE4F0586F7E6932DDE7358",1)</f>
        <v>=DISPIMG("ID_F72D8ED31FFE4F0586F7E6932DDE7358",1)</v>
      </c>
      <c r="AA149" s="10" t="s">
        <v>34</v>
      </c>
      <c r="AB149" s="10" t="s">
        <v>1174</v>
      </c>
      <c r="AC149" s="10"/>
    </row>
    <row r="150" s="2" customFormat="1" ht="110.2" hidden="1" spans="1:29">
      <c r="A150" s="10" t="s">
        <v>913</v>
      </c>
      <c r="B150" s="11" t="s">
        <v>1072</v>
      </c>
      <c r="C150" s="10" t="s">
        <v>1168</v>
      </c>
      <c r="D150" s="10" t="s">
        <v>1095</v>
      </c>
      <c r="E150" s="10"/>
      <c r="F150" s="12"/>
      <c r="G150" s="13"/>
      <c r="H150" s="15"/>
      <c r="I150" s="10"/>
      <c r="J150" s="10"/>
      <c r="K150" s="10"/>
      <c r="L150" s="10"/>
      <c r="M150" s="10"/>
      <c r="N150" s="10"/>
      <c r="O150" s="10"/>
      <c r="P150" s="10"/>
      <c r="Q150" s="10"/>
      <c r="R150" s="10"/>
      <c r="S150" s="10" t="s">
        <v>1175</v>
      </c>
      <c r="T150" s="10" t="s">
        <v>32</v>
      </c>
      <c r="U150" s="10" t="s">
        <v>1175</v>
      </c>
      <c r="V150" s="50" t="s">
        <v>33</v>
      </c>
      <c r="W150" s="23"/>
      <c r="X150" s="10" t="s">
        <v>1175</v>
      </c>
      <c r="Y150" s="10" t="s">
        <v>32</v>
      </c>
      <c r="Z150" s="10" t="str">
        <f>_xlfn.DISPIMG("ID_D3CAE950A087428B92D9CD277402DF2C",1)</f>
        <v>=DISPIMG("ID_D3CAE950A087428B92D9CD277402DF2C",1)</v>
      </c>
      <c r="AA150" s="10" t="s">
        <v>34</v>
      </c>
      <c r="AB150" s="10" t="s">
        <v>56</v>
      </c>
      <c r="AC150" s="10"/>
    </row>
    <row r="151" s="2" customFormat="1" ht="66" hidden="1" spans="1:29">
      <c r="A151" s="10" t="s">
        <v>913</v>
      </c>
      <c r="B151" s="11" t="s">
        <v>1072</v>
      </c>
      <c r="C151" s="10" t="s">
        <v>1168</v>
      </c>
      <c r="D151" s="10" t="s">
        <v>1095</v>
      </c>
      <c r="E151" s="10"/>
      <c r="F151" s="12"/>
      <c r="G151" s="13"/>
      <c r="H151" s="16"/>
      <c r="I151" s="10"/>
      <c r="J151" s="10"/>
      <c r="K151" s="10"/>
      <c r="L151" s="10"/>
      <c r="M151" s="10"/>
      <c r="N151" s="10"/>
      <c r="O151" s="10"/>
      <c r="P151" s="10"/>
      <c r="Q151" s="10"/>
      <c r="R151" s="10"/>
      <c r="S151" s="10" t="s">
        <v>1176</v>
      </c>
      <c r="T151" s="10" t="s">
        <v>68</v>
      </c>
      <c r="U151" s="28" t="s">
        <v>1173</v>
      </c>
      <c r="V151" s="50" t="s">
        <v>269</v>
      </c>
      <c r="W151" s="23"/>
      <c r="X151" s="10" t="s">
        <v>1176</v>
      </c>
      <c r="Y151" s="10" t="s">
        <v>68</v>
      </c>
      <c r="Z151" s="10" t="str">
        <f>_xlfn.DISPIMG("ID_9252EAFEFB1D40BFB0D950B1C8225D74",1)</f>
        <v>=DISPIMG("ID_9252EAFEFB1D40BFB0D950B1C8225D74",1)</v>
      </c>
      <c r="AA151" s="10" t="s">
        <v>34</v>
      </c>
      <c r="AB151" s="10" t="s">
        <v>1177</v>
      </c>
      <c r="AC151" s="10"/>
    </row>
    <row r="152" s="2" customFormat="1" ht="66" hidden="1" spans="1:29">
      <c r="A152" s="10" t="s">
        <v>913</v>
      </c>
      <c r="B152" s="11" t="s">
        <v>1072</v>
      </c>
      <c r="C152" s="10" t="s">
        <v>1168</v>
      </c>
      <c r="D152" s="10" t="s">
        <v>1101</v>
      </c>
      <c r="E152" s="10"/>
      <c r="F152" s="12"/>
      <c r="G152" s="13"/>
      <c r="H152" s="10" t="s">
        <v>1101</v>
      </c>
      <c r="I152" s="10"/>
      <c r="J152" s="10"/>
      <c r="K152" s="10"/>
      <c r="L152" s="10"/>
      <c r="M152" s="10"/>
      <c r="N152" s="10"/>
      <c r="O152" s="10"/>
      <c r="P152" s="10"/>
      <c r="Q152" s="10"/>
      <c r="R152" s="10"/>
      <c r="S152" s="10" t="s">
        <v>1178</v>
      </c>
      <c r="T152" s="10" t="s">
        <v>32</v>
      </c>
      <c r="U152" s="10" t="s">
        <v>1178</v>
      </c>
      <c r="V152" s="50" t="s">
        <v>33</v>
      </c>
      <c r="W152" s="23"/>
      <c r="X152" s="10" t="s">
        <v>1178</v>
      </c>
      <c r="Y152" s="10" t="s">
        <v>32</v>
      </c>
      <c r="Z152" s="10" t="str">
        <f>_xlfn.DISPIMG("ID_6A72BBB8139045B39533F990D221331A",1)</f>
        <v>=DISPIMG("ID_6A72BBB8139045B39533F990D221331A",1)</v>
      </c>
      <c r="AA152" s="10" t="s">
        <v>34</v>
      </c>
      <c r="AB152" s="10" t="s">
        <v>56</v>
      </c>
      <c r="AC152" s="10"/>
    </row>
    <row r="153" s="2" customFormat="1" ht="66" hidden="1" spans="1:29">
      <c r="A153" s="10" t="s">
        <v>913</v>
      </c>
      <c r="B153" s="11" t="s">
        <v>1179</v>
      </c>
      <c r="C153" s="10" t="s">
        <v>1180</v>
      </c>
      <c r="D153" s="10" t="s">
        <v>1074</v>
      </c>
      <c r="E153" s="10"/>
      <c r="F153" s="12"/>
      <c r="G153" s="13"/>
      <c r="H153" s="14" t="s">
        <v>1074</v>
      </c>
      <c r="I153" s="10"/>
      <c r="J153" s="10"/>
      <c r="K153" s="10"/>
      <c r="L153" s="10"/>
      <c r="M153" s="10"/>
      <c r="N153" s="10"/>
      <c r="O153" s="10"/>
      <c r="P153" s="10"/>
      <c r="Q153" s="10"/>
      <c r="R153" s="10"/>
      <c r="S153" s="10" t="s">
        <v>1181</v>
      </c>
      <c r="T153" s="10" t="s">
        <v>32</v>
      </c>
      <c r="U153" s="10" t="s">
        <v>1181</v>
      </c>
      <c r="V153" s="50" t="s">
        <v>33</v>
      </c>
      <c r="W153" s="23"/>
      <c r="X153" s="10" t="s">
        <v>1181</v>
      </c>
      <c r="Y153" s="10" t="s">
        <v>32</v>
      </c>
      <c r="Z153" s="10" t="str">
        <f>_xlfn.DISPIMG("ID_C0A4B31F396943719AD1B76CE8A7035C",1)</f>
        <v>=DISPIMG("ID_C0A4B31F396943719AD1B76CE8A7035C",1)</v>
      </c>
      <c r="AA153" s="10" t="s">
        <v>34</v>
      </c>
      <c r="AB153" s="10" t="s">
        <v>56</v>
      </c>
      <c r="AC153" s="10" t="s">
        <v>1182</v>
      </c>
    </row>
    <row r="154" s="2" customFormat="1" ht="66" hidden="1" spans="1:29">
      <c r="A154" s="10" t="s">
        <v>913</v>
      </c>
      <c r="B154" s="11" t="s">
        <v>1179</v>
      </c>
      <c r="C154" s="10" t="s">
        <v>1180</v>
      </c>
      <c r="D154" s="10" t="s">
        <v>1074</v>
      </c>
      <c r="E154" s="10"/>
      <c r="F154" s="12"/>
      <c r="G154" s="13"/>
      <c r="H154" s="15"/>
      <c r="I154" s="10"/>
      <c r="J154" s="10"/>
      <c r="K154" s="10"/>
      <c r="L154" s="10"/>
      <c r="M154" s="10"/>
      <c r="N154" s="10"/>
      <c r="O154" s="10"/>
      <c r="P154" s="10"/>
      <c r="Q154" s="10"/>
      <c r="R154" s="10"/>
      <c r="S154" s="10" t="s">
        <v>1183</v>
      </c>
      <c r="T154" s="10" t="s">
        <v>32</v>
      </c>
      <c r="U154" s="10" t="s">
        <v>1183</v>
      </c>
      <c r="V154" s="50" t="s">
        <v>33</v>
      </c>
      <c r="W154" s="23"/>
      <c r="X154" s="10" t="s">
        <v>1183</v>
      </c>
      <c r="Y154" s="10" t="s">
        <v>32</v>
      </c>
      <c r="Z154" s="10" t="str">
        <f>_xlfn.DISPIMG("ID_905C0933314B45CDBF7D1E6B80C76BA3",1)</f>
        <v>=DISPIMG("ID_905C0933314B45CDBF7D1E6B80C76BA3",1)</v>
      </c>
      <c r="AA154" s="10" t="s">
        <v>34</v>
      </c>
      <c r="AB154" s="10" t="s">
        <v>56</v>
      </c>
      <c r="AC154" s="10" t="s">
        <v>1182</v>
      </c>
    </row>
    <row r="155" s="2" customFormat="1" ht="66" hidden="1" spans="1:29">
      <c r="A155" s="10" t="s">
        <v>913</v>
      </c>
      <c r="B155" s="11" t="s">
        <v>1179</v>
      </c>
      <c r="C155" s="10" t="s">
        <v>1180</v>
      </c>
      <c r="D155" s="10" t="s">
        <v>1074</v>
      </c>
      <c r="E155" s="10"/>
      <c r="F155" s="12"/>
      <c r="G155" s="13"/>
      <c r="H155" s="15"/>
      <c r="I155" s="10"/>
      <c r="J155" s="10"/>
      <c r="K155" s="10"/>
      <c r="L155" s="10"/>
      <c r="M155" s="10"/>
      <c r="N155" s="10"/>
      <c r="O155" s="10"/>
      <c r="P155" s="10"/>
      <c r="Q155" s="10"/>
      <c r="R155" s="10"/>
      <c r="S155" s="10" t="s">
        <v>1184</v>
      </c>
      <c r="T155" s="10" t="s">
        <v>32</v>
      </c>
      <c r="U155" s="10" t="s">
        <v>1184</v>
      </c>
      <c r="V155" s="50" t="s">
        <v>33</v>
      </c>
      <c r="W155" s="23"/>
      <c r="X155" s="10" t="s">
        <v>1184</v>
      </c>
      <c r="Y155" s="10" t="s">
        <v>32</v>
      </c>
      <c r="Z155" s="10" t="str">
        <f>_xlfn.DISPIMG("ID_0B839F6382F54540B45A89CFA45EAD32",1)</f>
        <v>=DISPIMG("ID_0B839F6382F54540B45A89CFA45EAD32",1)</v>
      </c>
      <c r="AA155" s="10" t="s">
        <v>34</v>
      </c>
      <c r="AB155" s="10" t="s">
        <v>56</v>
      </c>
      <c r="AC155" s="10" t="s">
        <v>1182</v>
      </c>
    </row>
    <row r="156" s="2" customFormat="1" ht="66" hidden="1" spans="1:29">
      <c r="A156" s="10" t="s">
        <v>913</v>
      </c>
      <c r="B156" s="11" t="s">
        <v>1179</v>
      </c>
      <c r="C156" s="10" t="s">
        <v>1180</v>
      </c>
      <c r="D156" s="10" t="s">
        <v>1074</v>
      </c>
      <c r="E156" s="10"/>
      <c r="F156" s="12"/>
      <c r="G156" s="13"/>
      <c r="H156" s="15"/>
      <c r="I156" s="10"/>
      <c r="J156" s="10"/>
      <c r="K156" s="10"/>
      <c r="L156" s="10"/>
      <c r="M156" s="10"/>
      <c r="N156" s="10"/>
      <c r="O156" s="10"/>
      <c r="P156" s="10"/>
      <c r="Q156" s="10"/>
      <c r="R156" s="10"/>
      <c r="S156" s="10" t="s">
        <v>1185</v>
      </c>
      <c r="T156" s="10" t="s">
        <v>32</v>
      </c>
      <c r="U156" s="10" t="s">
        <v>1185</v>
      </c>
      <c r="V156" s="50" t="s">
        <v>33</v>
      </c>
      <c r="W156" s="23"/>
      <c r="X156" s="10" t="s">
        <v>1185</v>
      </c>
      <c r="Y156" s="10" t="s">
        <v>32</v>
      </c>
      <c r="Z156" s="10" t="str">
        <f>_xlfn.DISPIMG("ID_B7CD521725E641B88D0AECAFC588B5C0",1)</f>
        <v>=DISPIMG("ID_B7CD521725E641B88D0AECAFC588B5C0",1)</v>
      </c>
      <c r="AA156" s="10" t="s">
        <v>34</v>
      </c>
      <c r="AB156" s="10" t="s">
        <v>56</v>
      </c>
      <c r="AC156" s="10" t="s">
        <v>1186</v>
      </c>
    </row>
    <row r="157" s="2" customFormat="1" ht="66" hidden="1" spans="1:29">
      <c r="A157" s="10" t="s">
        <v>913</v>
      </c>
      <c r="B157" s="11" t="s">
        <v>1179</v>
      </c>
      <c r="C157" s="10" t="s">
        <v>1180</v>
      </c>
      <c r="D157" s="10" t="s">
        <v>1074</v>
      </c>
      <c r="E157" s="10"/>
      <c r="F157" s="12"/>
      <c r="G157" s="13"/>
      <c r="H157" s="16"/>
      <c r="I157" s="10"/>
      <c r="J157" s="10"/>
      <c r="K157" s="10"/>
      <c r="L157" s="10"/>
      <c r="M157" s="10"/>
      <c r="N157" s="10"/>
      <c r="O157" s="10"/>
      <c r="P157" s="10"/>
      <c r="Q157" s="10"/>
      <c r="R157" s="10"/>
      <c r="S157" s="10" t="s">
        <v>1187</v>
      </c>
      <c r="T157" s="10" t="s">
        <v>32</v>
      </c>
      <c r="U157" s="10" t="s">
        <v>1187</v>
      </c>
      <c r="V157" s="50" t="s">
        <v>33</v>
      </c>
      <c r="W157" s="23"/>
      <c r="X157" s="10" t="s">
        <v>1187</v>
      </c>
      <c r="Y157" s="10" t="s">
        <v>32</v>
      </c>
      <c r="Z157" s="10" t="str">
        <f>_xlfn.DISPIMG("ID_2FC08F60A75C44099BA229B8E13DDCD8",1)</f>
        <v>=DISPIMG("ID_2FC08F60A75C44099BA229B8E13DDCD8",1)</v>
      </c>
      <c r="AA157" s="10" t="s">
        <v>34</v>
      </c>
      <c r="AB157" s="10" t="s">
        <v>56</v>
      </c>
      <c r="AC157" s="10" t="s">
        <v>1188</v>
      </c>
    </row>
    <row r="158" s="2" customFormat="1" ht="66" hidden="1" spans="1:29">
      <c r="A158" s="10" t="s">
        <v>913</v>
      </c>
      <c r="B158" s="11" t="s">
        <v>1179</v>
      </c>
      <c r="C158" s="10" t="s">
        <v>1180</v>
      </c>
      <c r="D158" s="10" t="s">
        <v>1095</v>
      </c>
      <c r="E158" s="10"/>
      <c r="F158" s="12"/>
      <c r="G158" s="13"/>
      <c r="H158" s="14" t="s">
        <v>1095</v>
      </c>
      <c r="I158" s="10"/>
      <c r="J158" s="10"/>
      <c r="K158" s="10"/>
      <c r="L158" s="10"/>
      <c r="M158" s="10"/>
      <c r="N158" s="10"/>
      <c r="O158" s="10"/>
      <c r="P158" s="10"/>
      <c r="Q158" s="10"/>
      <c r="R158" s="10"/>
      <c r="S158" s="10" t="s">
        <v>1189</v>
      </c>
      <c r="T158" s="10" t="s">
        <v>32</v>
      </c>
      <c r="U158" s="10" t="s">
        <v>1189</v>
      </c>
      <c r="V158" s="50" t="s">
        <v>33</v>
      </c>
      <c r="W158" s="23"/>
      <c r="X158" s="10" t="s">
        <v>1189</v>
      </c>
      <c r="Y158" s="10" t="s">
        <v>32</v>
      </c>
      <c r="Z158" s="10" t="str">
        <f>_xlfn.DISPIMG("ID_A1E4BF7ED5044A85A4C597D77A1CF112",1)</f>
        <v>=DISPIMG("ID_A1E4BF7ED5044A85A4C597D77A1CF112",1)</v>
      </c>
      <c r="AA158" s="10" t="s">
        <v>34</v>
      </c>
      <c r="AB158" s="10" t="s">
        <v>56</v>
      </c>
      <c r="AC158" s="10" t="s">
        <v>1186</v>
      </c>
    </row>
    <row r="159" s="2" customFormat="1" ht="66" hidden="1" spans="1:29">
      <c r="A159" s="10" t="s">
        <v>913</v>
      </c>
      <c r="B159" s="11" t="s">
        <v>1179</v>
      </c>
      <c r="C159" s="10" t="s">
        <v>1180</v>
      </c>
      <c r="D159" s="10" t="s">
        <v>1095</v>
      </c>
      <c r="E159" s="10"/>
      <c r="F159" s="12"/>
      <c r="G159" s="13"/>
      <c r="H159" s="15"/>
      <c r="I159" s="10"/>
      <c r="J159" s="10"/>
      <c r="K159" s="10"/>
      <c r="L159" s="10"/>
      <c r="M159" s="10"/>
      <c r="N159" s="10"/>
      <c r="O159" s="10"/>
      <c r="P159" s="10"/>
      <c r="Q159" s="10"/>
      <c r="R159" s="10"/>
      <c r="S159" s="10" t="s">
        <v>1190</v>
      </c>
      <c r="T159" s="10" t="s">
        <v>32</v>
      </c>
      <c r="U159" s="10" t="s">
        <v>1190</v>
      </c>
      <c r="V159" s="50" t="s">
        <v>33</v>
      </c>
      <c r="W159" s="23"/>
      <c r="X159" s="10" t="s">
        <v>1190</v>
      </c>
      <c r="Y159" s="10" t="s">
        <v>32</v>
      </c>
      <c r="Z159" s="10" t="str">
        <f>_xlfn.DISPIMG("ID_558DE82170504CB398F8E02C092DEB08",1)</f>
        <v>=DISPIMG("ID_558DE82170504CB398F8E02C092DEB08",1)</v>
      </c>
      <c r="AA159" s="10" t="s">
        <v>34</v>
      </c>
      <c r="AB159" s="10" t="s">
        <v>56</v>
      </c>
      <c r="AC159" s="10" t="s">
        <v>1191</v>
      </c>
    </row>
    <row r="160" s="2" customFormat="1" ht="66" hidden="1" spans="1:29">
      <c r="A160" s="10" t="s">
        <v>913</v>
      </c>
      <c r="B160" s="11" t="s">
        <v>1179</v>
      </c>
      <c r="C160" s="10" t="s">
        <v>1180</v>
      </c>
      <c r="D160" s="10" t="s">
        <v>1095</v>
      </c>
      <c r="E160" s="10"/>
      <c r="F160" s="12"/>
      <c r="G160" s="13"/>
      <c r="H160" s="15"/>
      <c r="I160" s="10"/>
      <c r="J160" s="10"/>
      <c r="K160" s="10"/>
      <c r="L160" s="10"/>
      <c r="M160" s="10"/>
      <c r="N160" s="10"/>
      <c r="O160" s="10"/>
      <c r="P160" s="10"/>
      <c r="Q160" s="10"/>
      <c r="R160" s="10"/>
      <c r="S160" s="10" t="s">
        <v>1192</v>
      </c>
      <c r="T160" s="10" t="s">
        <v>32</v>
      </c>
      <c r="U160" s="10" t="s">
        <v>1192</v>
      </c>
      <c r="V160" s="50" t="s">
        <v>33</v>
      </c>
      <c r="W160" s="23"/>
      <c r="X160" s="10" t="s">
        <v>1192</v>
      </c>
      <c r="Y160" s="10" t="s">
        <v>32</v>
      </c>
      <c r="Z160" s="10" t="str">
        <f>_xlfn.DISPIMG("ID_56364F2901A24E60A39ACF7B5C281432",1)</f>
        <v>=DISPIMG("ID_56364F2901A24E60A39ACF7B5C281432",1)</v>
      </c>
      <c r="AA160" s="10" t="s">
        <v>34</v>
      </c>
      <c r="AB160" s="10" t="s">
        <v>56</v>
      </c>
      <c r="AC160" s="10" t="s">
        <v>1191</v>
      </c>
    </row>
    <row r="161" s="2" customFormat="1" ht="115.5" hidden="1" spans="1:29">
      <c r="A161" s="10" t="s">
        <v>913</v>
      </c>
      <c r="B161" s="11" t="s">
        <v>1179</v>
      </c>
      <c r="C161" s="10" t="s">
        <v>1180</v>
      </c>
      <c r="D161" s="10" t="s">
        <v>1095</v>
      </c>
      <c r="E161" s="10"/>
      <c r="F161" s="12"/>
      <c r="G161" s="13"/>
      <c r="H161" s="16"/>
      <c r="I161" s="10"/>
      <c r="J161" s="10"/>
      <c r="K161" s="10"/>
      <c r="L161" s="10"/>
      <c r="M161" s="10"/>
      <c r="N161" s="10"/>
      <c r="O161" s="10"/>
      <c r="P161" s="10"/>
      <c r="Q161" s="10"/>
      <c r="R161" s="10"/>
      <c r="S161" s="10" t="s">
        <v>1193</v>
      </c>
      <c r="T161" s="10" t="s">
        <v>68</v>
      </c>
      <c r="U161" s="10" t="s">
        <v>1194</v>
      </c>
      <c r="V161" s="50" t="s">
        <v>33</v>
      </c>
      <c r="W161" s="23"/>
      <c r="X161" s="10" t="s">
        <v>1193</v>
      </c>
      <c r="Y161" s="10" t="s">
        <v>68</v>
      </c>
      <c r="Z161" s="10" t="str">
        <f>_xlfn.DISPIMG("ID_74370CB718BF445EBA5EAC82E4CA5F85",1)</f>
        <v>=DISPIMG("ID_74370CB718BF445EBA5EAC82E4CA5F85",1)</v>
      </c>
      <c r="AA161" s="10" t="s">
        <v>34</v>
      </c>
      <c r="AB161" s="10" t="s">
        <v>1195</v>
      </c>
      <c r="AC161" s="10" t="s">
        <v>1191</v>
      </c>
    </row>
    <row r="162" s="2" customFormat="1" ht="90" hidden="1" spans="1:29">
      <c r="A162" s="10" t="s">
        <v>913</v>
      </c>
      <c r="B162" s="11" t="s">
        <v>1179</v>
      </c>
      <c r="C162" s="10" t="s">
        <v>1196</v>
      </c>
      <c r="D162" s="10" t="s">
        <v>1074</v>
      </c>
      <c r="E162" s="10"/>
      <c r="F162" s="12"/>
      <c r="G162" s="13"/>
      <c r="H162" s="14" t="s">
        <v>1074</v>
      </c>
      <c r="I162" s="10"/>
      <c r="J162" s="10"/>
      <c r="K162" s="10"/>
      <c r="L162" s="10"/>
      <c r="M162" s="10"/>
      <c r="N162" s="10"/>
      <c r="O162" s="10"/>
      <c r="P162" s="10"/>
      <c r="Q162" s="10"/>
      <c r="R162" s="10"/>
      <c r="S162" s="10" t="s">
        <v>1197</v>
      </c>
      <c r="T162" s="10" t="s">
        <v>32</v>
      </c>
      <c r="U162" s="10" t="s">
        <v>1197</v>
      </c>
      <c r="V162" s="50" t="s">
        <v>33</v>
      </c>
      <c r="W162" s="23"/>
      <c r="X162" s="10" t="s">
        <v>1197</v>
      </c>
      <c r="Y162" s="10" t="s">
        <v>32</v>
      </c>
      <c r="Z162" s="10" t="str">
        <f>_xlfn.DISPIMG("ID_B7D38D1EC9314A8B989A9C1F7302CBDC",1)</f>
        <v>=DISPIMG("ID_B7D38D1EC9314A8B989A9C1F7302CBDC",1)</v>
      </c>
      <c r="AA162" s="10" t="s">
        <v>34</v>
      </c>
      <c r="AB162" s="10" t="s">
        <v>56</v>
      </c>
      <c r="AC162" s="10" t="s">
        <v>1198</v>
      </c>
    </row>
    <row r="163" s="2" customFormat="1" ht="128.25" hidden="1" spans="1:29">
      <c r="A163" s="10" t="s">
        <v>913</v>
      </c>
      <c r="B163" s="11" t="s">
        <v>1179</v>
      </c>
      <c r="C163" s="10" t="s">
        <v>1196</v>
      </c>
      <c r="D163" s="10" t="s">
        <v>1074</v>
      </c>
      <c r="E163" s="10"/>
      <c r="F163" s="12"/>
      <c r="G163" s="13"/>
      <c r="H163" s="16"/>
      <c r="I163" s="10"/>
      <c r="J163" s="10"/>
      <c r="K163" s="10"/>
      <c r="L163" s="10"/>
      <c r="M163" s="10"/>
      <c r="N163" s="10"/>
      <c r="O163" s="10"/>
      <c r="P163" s="10"/>
      <c r="Q163" s="10"/>
      <c r="R163" s="10"/>
      <c r="S163" s="10" t="s">
        <v>1199</v>
      </c>
      <c r="T163" s="10" t="s">
        <v>68</v>
      </c>
      <c r="U163" s="24" t="s">
        <v>1200</v>
      </c>
      <c r="V163" s="50" t="s">
        <v>33</v>
      </c>
      <c r="W163" s="23"/>
      <c r="X163" s="10" t="s">
        <v>1199</v>
      </c>
      <c r="Y163" s="10" t="s">
        <v>68</v>
      </c>
      <c r="Z163" s="10" t="str">
        <f>_xlfn.DISPIMG("ID_51389441EF0944E7934AE151CF8E77ED",1)</f>
        <v>=DISPIMG("ID_51389441EF0944E7934AE151CF8E77ED",1)</v>
      </c>
      <c r="AA163" s="10" t="s">
        <v>34</v>
      </c>
      <c r="AB163" s="10" t="s">
        <v>1201</v>
      </c>
      <c r="AC163" s="10" t="s">
        <v>1198</v>
      </c>
    </row>
    <row r="164" s="2" customFormat="1" ht="66" hidden="1" spans="1:29">
      <c r="A164" s="10" t="s">
        <v>913</v>
      </c>
      <c r="B164" s="11" t="s">
        <v>1179</v>
      </c>
      <c r="C164" s="10" t="s">
        <v>1196</v>
      </c>
      <c r="D164" s="10" t="s">
        <v>1095</v>
      </c>
      <c r="E164" s="10"/>
      <c r="F164" s="12"/>
      <c r="G164" s="13"/>
      <c r="H164" s="14" t="s">
        <v>1095</v>
      </c>
      <c r="I164" s="10"/>
      <c r="J164" s="10"/>
      <c r="K164" s="10"/>
      <c r="L164" s="10"/>
      <c r="M164" s="10"/>
      <c r="N164" s="10"/>
      <c r="O164" s="10"/>
      <c r="P164" s="10"/>
      <c r="Q164" s="10"/>
      <c r="R164" s="10"/>
      <c r="S164" s="10" t="s">
        <v>1202</v>
      </c>
      <c r="T164" s="10" t="s">
        <v>32</v>
      </c>
      <c r="U164" s="10" t="s">
        <v>1202</v>
      </c>
      <c r="V164" s="50" t="s">
        <v>33</v>
      </c>
      <c r="W164" s="23"/>
      <c r="X164" s="10" t="s">
        <v>1202</v>
      </c>
      <c r="Y164" s="10" t="s">
        <v>32</v>
      </c>
      <c r="Z164" s="10" t="str">
        <f>_xlfn.DISPIMG("ID_CC504F27848147CE9A25D05479D2C695",1)</f>
        <v>=DISPIMG("ID_CC504F27848147CE9A25D05479D2C695",1)</v>
      </c>
      <c r="AA164" s="10" t="s">
        <v>34</v>
      </c>
      <c r="AB164" s="10" t="s">
        <v>56</v>
      </c>
      <c r="AC164" s="10" t="s">
        <v>1203</v>
      </c>
    </row>
    <row r="165" s="2" customFormat="1" ht="66" hidden="1" spans="1:29">
      <c r="A165" s="10" t="s">
        <v>913</v>
      </c>
      <c r="B165" s="11" t="s">
        <v>1179</v>
      </c>
      <c r="C165" s="10" t="s">
        <v>1196</v>
      </c>
      <c r="D165" s="10" t="s">
        <v>1095</v>
      </c>
      <c r="E165" s="10"/>
      <c r="F165" s="12"/>
      <c r="G165" s="13"/>
      <c r="H165" s="15"/>
      <c r="I165" s="10"/>
      <c r="J165" s="10"/>
      <c r="K165" s="10"/>
      <c r="L165" s="10"/>
      <c r="M165" s="10"/>
      <c r="N165" s="10"/>
      <c r="O165" s="10"/>
      <c r="P165" s="10"/>
      <c r="Q165" s="10"/>
      <c r="R165" s="10"/>
      <c r="S165" s="10" t="s">
        <v>1204</v>
      </c>
      <c r="T165" s="10" t="s">
        <v>32</v>
      </c>
      <c r="U165" s="10" t="s">
        <v>1204</v>
      </c>
      <c r="V165" s="50" t="s">
        <v>33</v>
      </c>
      <c r="W165" s="23"/>
      <c r="X165" s="10" t="s">
        <v>1204</v>
      </c>
      <c r="Y165" s="10" t="s">
        <v>32</v>
      </c>
      <c r="Z165" s="10" t="str">
        <f>_xlfn.DISPIMG("ID_A24FC4002DEB47B0B3914CF713C57205",1)</f>
        <v>=DISPIMG("ID_A24FC4002DEB47B0B3914CF713C57205",1)</v>
      </c>
      <c r="AA165" s="10" t="s">
        <v>34</v>
      </c>
      <c r="AB165" s="10" t="s">
        <v>56</v>
      </c>
      <c r="AC165" s="10" t="s">
        <v>1203</v>
      </c>
    </row>
    <row r="166" s="2" customFormat="1" ht="66" hidden="1" spans="1:29">
      <c r="A166" s="10" t="s">
        <v>913</v>
      </c>
      <c r="B166" s="11" t="s">
        <v>1179</v>
      </c>
      <c r="C166" s="10" t="s">
        <v>1196</v>
      </c>
      <c r="D166" s="10" t="s">
        <v>1095</v>
      </c>
      <c r="E166" s="10"/>
      <c r="F166" s="12"/>
      <c r="G166" s="13"/>
      <c r="H166" s="16"/>
      <c r="I166" s="10"/>
      <c r="J166" s="10"/>
      <c r="K166" s="10"/>
      <c r="L166" s="10"/>
      <c r="M166" s="10"/>
      <c r="N166" s="10"/>
      <c r="O166" s="10"/>
      <c r="P166" s="10"/>
      <c r="Q166" s="10"/>
      <c r="R166" s="10"/>
      <c r="S166" s="10" t="s">
        <v>1205</v>
      </c>
      <c r="T166" s="10" t="s">
        <v>32</v>
      </c>
      <c r="U166" s="10" t="s">
        <v>1205</v>
      </c>
      <c r="V166" s="50" t="s">
        <v>33</v>
      </c>
      <c r="W166" s="23"/>
      <c r="X166" s="10" t="s">
        <v>1205</v>
      </c>
      <c r="Y166" s="10" t="s">
        <v>32</v>
      </c>
      <c r="Z166" s="10" t="str">
        <f>_xlfn.DISPIMG("ID_6F8D3AB9F34E4551BF1AF5E17C479B09",1)</f>
        <v>=DISPIMG("ID_6F8D3AB9F34E4551BF1AF5E17C479B09",1)</v>
      </c>
      <c r="AA166" s="10" t="s">
        <v>34</v>
      </c>
      <c r="AB166" s="10" t="s">
        <v>56</v>
      </c>
      <c r="AC166" s="10" t="s">
        <v>1203</v>
      </c>
    </row>
    <row r="167" s="2" customFormat="1" ht="75" hidden="1" spans="1:29">
      <c r="A167" s="10" t="s">
        <v>913</v>
      </c>
      <c r="B167" s="11" t="s">
        <v>1179</v>
      </c>
      <c r="C167" s="10" t="s">
        <v>1206</v>
      </c>
      <c r="D167" s="10" t="s">
        <v>1074</v>
      </c>
      <c r="E167" s="10"/>
      <c r="F167" s="12"/>
      <c r="G167" s="13"/>
      <c r="H167" s="10" t="s">
        <v>1074</v>
      </c>
      <c r="I167" s="10"/>
      <c r="J167" s="10"/>
      <c r="K167" s="10"/>
      <c r="L167" s="10"/>
      <c r="M167" s="10"/>
      <c r="N167" s="10"/>
      <c r="O167" s="10"/>
      <c r="P167" s="10"/>
      <c r="Q167" s="10"/>
      <c r="R167" s="10"/>
      <c r="S167" s="10" t="s">
        <v>1207</v>
      </c>
      <c r="T167" s="10" t="s">
        <v>32</v>
      </c>
      <c r="U167" s="10" t="s">
        <v>1207</v>
      </c>
      <c r="V167" s="50" t="s">
        <v>33</v>
      </c>
      <c r="W167" s="23"/>
      <c r="X167" s="10" t="s">
        <v>1207</v>
      </c>
      <c r="Y167" s="10" t="s">
        <v>32</v>
      </c>
      <c r="Z167" s="10" t="str">
        <f>_xlfn.DISPIMG("ID_E3905166CB384248841611A1C9941559",1)</f>
        <v>=DISPIMG("ID_E3905166CB384248841611A1C9941559",1)</v>
      </c>
      <c r="AA167" s="10" t="s">
        <v>34</v>
      </c>
      <c r="AB167" s="10" t="s">
        <v>56</v>
      </c>
      <c r="AC167" s="10" t="s">
        <v>1208</v>
      </c>
    </row>
    <row r="168" s="2" customFormat="1" ht="75" hidden="1" spans="1:29">
      <c r="A168" s="10" t="s">
        <v>913</v>
      </c>
      <c r="B168" s="11" t="s">
        <v>1179</v>
      </c>
      <c r="C168" s="10" t="s">
        <v>1206</v>
      </c>
      <c r="D168" s="10" t="s">
        <v>1095</v>
      </c>
      <c r="E168" s="10"/>
      <c r="F168" s="12"/>
      <c r="G168" s="13"/>
      <c r="H168" s="10" t="s">
        <v>1095</v>
      </c>
      <c r="I168" s="10"/>
      <c r="J168" s="10"/>
      <c r="K168" s="10"/>
      <c r="L168" s="10"/>
      <c r="M168" s="10"/>
      <c r="N168" s="10"/>
      <c r="O168" s="10"/>
      <c r="P168" s="10"/>
      <c r="Q168" s="10"/>
      <c r="R168" s="10"/>
      <c r="S168" s="10" t="s">
        <v>1209</v>
      </c>
      <c r="T168" s="10" t="s">
        <v>32</v>
      </c>
      <c r="U168" s="10" t="s">
        <v>1209</v>
      </c>
      <c r="V168" s="50" t="s">
        <v>33</v>
      </c>
      <c r="W168" s="23"/>
      <c r="X168" s="10" t="s">
        <v>1209</v>
      </c>
      <c r="Y168" s="10" t="s">
        <v>32</v>
      </c>
      <c r="Z168" s="10" t="str">
        <f>_xlfn.DISPIMG("ID_EAB514488A9F4DE3ACE91DE3B465E953",1)</f>
        <v>=DISPIMG("ID_EAB514488A9F4DE3ACE91DE3B465E953",1)</v>
      </c>
      <c r="AA168" s="10" t="s">
        <v>34</v>
      </c>
      <c r="AB168" s="10" t="s">
        <v>56</v>
      </c>
      <c r="AC168" s="10" t="s">
        <v>1210</v>
      </c>
    </row>
    <row r="169" s="2" customFormat="1" ht="66" hidden="1" spans="1:29">
      <c r="A169" s="10" t="s">
        <v>913</v>
      </c>
      <c r="B169" s="11" t="s">
        <v>1179</v>
      </c>
      <c r="C169" s="10" t="s">
        <v>1211</v>
      </c>
      <c r="D169" s="10" t="s">
        <v>1074</v>
      </c>
      <c r="E169" s="10"/>
      <c r="F169" s="12"/>
      <c r="G169" s="13"/>
      <c r="H169" s="14" t="s">
        <v>1074</v>
      </c>
      <c r="I169" s="10"/>
      <c r="J169" s="10"/>
      <c r="K169" s="10"/>
      <c r="L169" s="10"/>
      <c r="M169" s="10"/>
      <c r="N169" s="10"/>
      <c r="O169" s="10"/>
      <c r="P169" s="10"/>
      <c r="Q169" s="10"/>
      <c r="R169" s="10"/>
      <c r="S169" s="10" t="s">
        <v>1212</v>
      </c>
      <c r="T169" s="10" t="s">
        <v>32</v>
      </c>
      <c r="U169" s="10" t="s">
        <v>1212</v>
      </c>
      <c r="V169" s="50" t="s">
        <v>33</v>
      </c>
      <c r="W169" s="23"/>
      <c r="X169" s="10" t="s">
        <v>1212</v>
      </c>
      <c r="Y169" s="10" t="s">
        <v>32</v>
      </c>
      <c r="Z169" s="10" t="str">
        <f>_xlfn.DISPIMG("ID_5DF246C1A8E4403C8EFF5CA51AC92872",1)</f>
        <v>=DISPIMG("ID_5DF246C1A8E4403C8EFF5CA51AC92872",1)</v>
      </c>
      <c r="AA169" s="10" t="s">
        <v>34</v>
      </c>
      <c r="AB169" s="10" t="s">
        <v>56</v>
      </c>
      <c r="AC169" s="10" t="s">
        <v>1213</v>
      </c>
    </row>
    <row r="170" s="2" customFormat="1" ht="66" hidden="1" spans="1:29">
      <c r="A170" s="10" t="s">
        <v>913</v>
      </c>
      <c r="B170" s="11" t="s">
        <v>1179</v>
      </c>
      <c r="C170" s="10" t="s">
        <v>1211</v>
      </c>
      <c r="D170" s="10" t="s">
        <v>1074</v>
      </c>
      <c r="E170" s="10"/>
      <c r="F170" s="12"/>
      <c r="G170" s="13"/>
      <c r="H170" s="15"/>
      <c r="I170" s="10"/>
      <c r="J170" s="10"/>
      <c r="K170" s="10"/>
      <c r="L170" s="10"/>
      <c r="M170" s="10"/>
      <c r="N170" s="10"/>
      <c r="O170" s="10"/>
      <c r="P170" s="10"/>
      <c r="Q170" s="10"/>
      <c r="R170" s="10"/>
      <c r="S170" s="10" t="s">
        <v>1214</v>
      </c>
      <c r="T170" s="10" t="s">
        <v>32</v>
      </c>
      <c r="U170" s="10" t="s">
        <v>1214</v>
      </c>
      <c r="V170" s="50" t="s">
        <v>33</v>
      </c>
      <c r="W170" s="23"/>
      <c r="X170" s="10" t="s">
        <v>1214</v>
      </c>
      <c r="Y170" s="10" t="s">
        <v>32</v>
      </c>
      <c r="Z170" s="10" t="str">
        <f>_xlfn.DISPIMG("ID_E8BD1049555840B78DBC6531AE400192",1)</f>
        <v>=DISPIMG("ID_E8BD1049555840B78DBC6531AE400192",1)</v>
      </c>
      <c r="AA170" s="10" t="s">
        <v>34</v>
      </c>
      <c r="AB170" s="10" t="s">
        <v>56</v>
      </c>
      <c r="AC170" s="10" t="s">
        <v>1186</v>
      </c>
    </row>
    <row r="171" s="2" customFormat="1" ht="66" hidden="1" spans="1:29">
      <c r="A171" s="10" t="s">
        <v>913</v>
      </c>
      <c r="B171" s="11" t="s">
        <v>1179</v>
      </c>
      <c r="C171" s="10" t="s">
        <v>1211</v>
      </c>
      <c r="D171" s="10" t="s">
        <v>1074</v>
      </c>
      <c r="E171" s="10"/>
      <c r="F171" s="12"/>
      <c r="G171" s="13"/>
      <c r="H171" s="15"/>
      <c r="I171" s="10"/>
      <c r="J171" s="10"/>
      <c r="K171" s="10"/>
      <c r="L171" s="10"/>
      <c r="M171" s="10"/>
      <c r="N171" s="10"/>
      <c r="O171" s="10"/>
      <c r="P171" s="10"/>
      <c r="Q171" s="10"/>
      <c r="R171" s="10"/>
      <c r="S171" s="10" t="s">
        <v>1215</v>
      </c>
      <c r="T171" s="10" t="s">
        <v>32</v>
      </c>
      <c r="U171" s="10" t="s">
        <v>1215</v>
      </c>
      <c r="V171" s="50" t="s">
        <v>33</v>
      </c>
      <c r="W171" s="23"/>
      <c r="X171" s="10" t="s">
        <v>1215</v>
      </c>
      <c r="Y171" s="10" t="s">
        <v>32</v>
      </c>
      <c r="Z171" s="10" t="str">
        <f>_xlfn.DISPIMG("ID_710DD672756840DFA04CD8518CD76118",1)</f>
        <v>=DISPIMG("ID_710DD672756840DFA04CD8518CD76118",1)</v>
      </c>
      <c r="AA171" s="10" t="s">
        <v>34</v>
      </c>
      <c r="AB171" s="10" t="s">
        <v>56</v>
      </c>
      <c r="AC171" s="10" t="s">
        <v>1216</v>
      </c>
    </row>
    <row r="172" s="2" customFormat="1" ht="148.5" hidden="1" spans="1:29">
      <c r="A172" s="10" t="s">
        <v>913</v>
      </c>
      <c r="B172" s="11" t="s">
        <v>1179</v>
      </c>
      <c r="C172" s="10" t="s">
        <v>1211</v>
      </c>
      <c r="D172" s="10" t="s">
        <v>1074</v>
      </c>
      <c r="E172" s="10"/>
      <c r="F172" s="12"/>
      <c r="G172" s="13"/>
      <c r="H172" s="16"/>
      <c r="I172" s="10"/>
      <c r="J172" s="10"/>
      <c r="K172" s="10"/>
      <c r="L172" s="10"/>
      <c r="M172" s="10"/>
      <c r="N172" s="10"/>
      <c r="O172" s="10"/>
      <c r="P172" s="10"/>
      <c r="Q172" s="10"/>
      <c r="R172" s="10"/>
      <c r="S172" s="10" t="s">
        <v>1217</v>
      </c>
      <c r="T172" s="10" t="s">
        <v>68</v>
      </c>
      <c r="U172" s="28" t="s">
        <v>1218</v>
      </c>
      <c r="V172" s="50" t="s">
        <v>33</v>
      </c>
      <c r="W172" s="23"/>
      <c r="X172" s="10" t="s">
        <v>1217</v>
      </c>
      <c r="Y172" s="10" t="s">
        <v>68</v>
      </c>
      <c r="Z172" s="10" t="str">
        <f>_xlfn.DISPIMG("ID_CBF79DAABC7D489695F73DC2D69E597D",1)</f>
        <v>=DISPIMG("ID_CBF79DAABC7D489695F73DC2D69E597D",1)</v>
      </c>
      <c r="AA172" s="10" t="s">
        <v>34</v>
      </c>
      <c r="AB172" s="10" t="s">
        <v>1219</v>
      </c>
      <c r="AC172" s="10" t="s">
        <v>1216</v>
      </c>
    </row>
    <row r="173" s="2" customFormat="1" ht="148.5" hidden="1" spans="1:29">
      <c r="A173" s="10" t="s">
        <v>913</v>
      </c>
      <c r="B173" s="11" t="s">
        <v>1179</v>
      </c>
      <c r="C173" s="10" t="s">
        <v>1211</v>
      </c>
      <c r="D173" s="10" t="s">
        <v>1095</v>
      </c>
      <c r="E173" s="10"/>
      <c r="F173" s="12"/>
      <c r="G173" s="13"/>
      <c r="H173" s="14" t="s">
        <v>1095</v>
      </c>
      <c r="I173" s="10"/>
      <c r="J173" s="10"/>
      <c r="K173" s="10"/>
      <c r="L173" s="10"/>
      <c r="M173" s="10"/>
      <c r="N173" s="10"/>
      <c r="O173" s="10"/>
      <c r="P173" s="10"/>
      <c r="Q173" s="10"/>
      <c r="R173" s="26"/>
      <c r="S173" s="10" t="s">
        <v>1220</v>
      </c>
      <c r="T173" s="10" t="s">
        <v>32</v>
      </c>
      <c r="U173" s="10" t="s">
        <v>1220</v>
      </c>
      <c r="V173" s="50" t="s">
        <v>33</v>
      </c>
      <c r="W173" s="23"/>
      <c r="X173" s="10" t="s">
        <v>1220</v>
      </c>
      <c r="Y173" s="10" t="s">
        <v>32</v>
      </c>
      <c r="Z173" s="10" t="str">
        <f>_xlfn.DISPIMG("ID_9D44FEA6B7234D09AEB82584433DC360",1)</f>
        <v>=DISPIMG("ID_9D44FEA6B7234D09AEB82584433DC360",1)</v>
      </c>
      <c r="AA173" s="10" t="s">
        <v>34</v>
      </c>
      <c r="AB173" s="10" t="s">
        <v>56</v>
      </c>
      <c r="AC173" s="10" t="s">
        <v>1221</v>
      </c>
    </row>
    <row r="174" s="2" customFormat="1" ht="148.5" hidden="1" spans="1:29">
      <c r="A174" s="10" t="s">
        <v>913</v>
      </c>
      <c r="B174" s="11" t="s">
        <v>1179</v>
      </c>
      <c r="C174" s="10" t="s">
        <v>1211</v>
      </c>
      <c r="D174" s="10" t="s">
        <v>1095</v>
      </c>
      <c r="E174" s="10"/>
      <c r="F174" s="12"/>
      <c r="G174" s="13"/>
      <c r="H174" s="15"/>
      <c r="I174" s="10"/>
      <c r="J174" s="10"/>
      <c r="K174" s="10"/>
      <c r="L174" s="10"/>
      <c r="M174" s="10"/>
      <c r="N174" s="10"/>
      <c r="O174" s="10"/>
      <c r="P174" s="10"/>
      <c r="Q174" s="10"/>
      <c r="R174" s="26"/>
      <c r="S174" s="10" t="s">
        <v>1222</v>
      </c>
      <c r="T174" s="10" t="s">
        <v>32</v>
      </c>
      <c r="U174" s="10" t="s">
        <v>1222</v>
      </c>
      <c r="V174" s="50" t="s">
        <v>33</v>
      </c>
      <c r="W174" s="23"/>
      <c r="X174" s="10" t="s">
        <v>1222</v>
      </c>
      <c r="Y174" s="10" t="s">
        <v>32</v>
      </c>
      <c r="Z174" s="10" t="str">
        <f>_xlfn.DISPIMG("ID_D99806BDAC36495AA35F493C29A27794",1)</f>
        <v>=DISPIMG("ID_D99806BDAC36495AA35F493C29A27794",1)</v>
      </c>
      <c r="AA174" s="10" t="s">
        <v>34</v>
      </c>
      <c r="AB174" s="10" t="s">
        <v>56</v>
      </c>
      <c r="AC174" s="10" t="s">
        <v>1221</v>
      </c>
    </row>
    <row r="175" s="2" customFormat="1" ht="148.5" hidden="1" spans="1:29">
      <c r="A175" s="10" t="s">
        <v>913</v>
      </c>
      <c r="B175" s="11" t="s">
        <v>1179</v>
      </c>
      <c r="C175" s="10" t="s">
        <v>1211</v>
      </c>
      <c r="D175" s="10" t="s">
        <v>1095</v>
      </c>
      <c r="E175" s="10"/>
      <c r="F175" s="12"/>
      <c r="G175" s="13"/>
      <c r="H175" s="15"/>
      <c r="I175" s="10"/>
      <c r="J175" s="10"/>
      <c r="K175" s="10"/>
      <c r="L175" s="10"/>
      <c r="M175" s="10"/>
      <c r="N175" s="10"/>
      <c r="O175" s="10"/>
      <c r="P175" s="10"/>
      <c r="Q175" s="10"/>
      <c r="R175" s="26"/>
      <c r="S175" s="10" t="s">
        <v>1223</v>
      </c>
      <c r="T175" s="10" t="s">
        <v>32</v>
      </c>
      <c r="U175" s="10" t="s">
        <v>1223</v>
      </c>
      <c r="V175" s="50" t="s">
        <v>33</v>
      </c>
      <c r="W175" s="23"/>
      <c r="X175" s="10" t="s">
        <v>1223</v>
      </c>
      <c r="Y175" s="10" t="s">
        <v>32</v>
      </c>
      <c r="Z175" s="10" t="str">
        <f>_xlfn.DISPIMG("ID_FBBA63517EC146E89BC998CAF4923B22",1)</f>
        <v>=DISPIMG("ID_FBBA63517EC146E89BC998CAF4923B22",1)</v>
      </c>
      <c r="AA175" s="10" t="s">
        <v>34</v>
      </c>
      <c r="AB175" s="10" t="s">
        <v>56</v>
      </c>
      <c r="AC175" s="10" t="s">
        <v>1221</v>
      </c>
    </row>
    <row r="176" s="2" customFormat="1" ht="148.5" hidden="1" spans="1:29">
      <c r="A176" s="10" t="s">
        <v>913</v>
      </c>
      <c r="B176" s="11" t="s">
        <v>1179</v>
      </c>
      <c r="C176" s="10" t="s">
        <v>1211</v>
      </c>
      <c r="D176" s="10" t="s">
        <v>1095</v>
      </c>
      <c r="E176" s="10"/>
      <c r="F176" s="12"/>
      <c r="G176" s="13"/>
      <c r="H176" s="15"/>
      <c r="I176" s="19"/>
      <c r="J176" s="19"/>
      <c r="K176" s="19"/>
      <c r="L176" s="19"/>
      <c r="M176" s="19"/>
      <c r="N176" s="19"/>
      <c r="O176" s="19"/>
      <c r="P176" s="19"/>
      <c r="Q176" s="19"/>
      <c r="R176" s="19"/>
      <c r="S176" s="19" t="s">
        <v>1224</v>
      </c>
      <c r="T176" s="10" t="s">
        <v>68</v>
      </c>
      <c r="U176" s="10" t="s">
        <v>1225</v>
      </c>
      <c r="V176" s="50" t="s">
        <v>33</v>
      </c>
      <c r="W176" s="23"/>
      <c r="X176" s="19" t="s">
        <v>1224</v>
      </c>
      <c r="Y176" s="10" t="s">
        <v>68</v>
      </c>
      <c r="Z176" s="10" t="str">
        <f>_xlfn.DISPIMG("ID_5DE7288839D443A2A588724A84B5F90D",1)</f>
        <v>=DISPIMG("ID_5DE7288839D443A2A588724A84B5F90D",1)</v>
      </c>
      <c r="AA176" s="10" t="s">
        <v>34</v>
      </c>
      <c r="AB176" s="10" t="s">
        <v>1226</v>
      </c>
      <c r="AC176" s="10" t="s">
        <v>1221</v>
      </c>
    </row>
    <row r="177" s="2" customFormat="1" ht="148.5" hidden="1" spans="1:29">
      <c r="A177" s="10" t="s">
        <v>913</v>
      </c>
      <c r="B177" s="11" t="s">
        <v>1179</v>
      </c>
      <c r="C177" s="10" t="s">
        <v>1211</v>
      </c>
      <c r="D177" s="10" t="s">
        <v>1095</v>
      </c>
      <c r="E177" s="10"/>
      <c r="F177" s="12"/>
      <c r="G177" s="13"/>
      <c r="H177" s="15"/>
      <c r="I177" s="10"/>
      <c r="J177" s="10"/>
      <c r="K177" s="10"/>
      <c r="L177" s="10"/>
      <c r="M177" s="10"/>
      <c r="N177" s="10"/>
      <c r="O177" s="10"/>
      <c r="P177" s="10"/>
      <c r="Q177" s="10"/>
      <c r="R177" s="26"/>
      <c r="S177" s="10" t="s">
        <v>1227</v>
      </c>
      <c r="T177" s="10" t="s">
        <v>32</v>
      </c>
      <c r="U177" s="10" t="s">
        <v>1227</v>
      </c>
      <c r="V177" s="50" t="s">
        <v>33</v>
      </c>
      <c r="W177" s="23"/>
      <c r="X177" s="10" t="s">
        <v>1227</v>
      </c>
      <c r="Y177" s="10" t="s">
        <v>32</v>
      </c>
      <c r="Z177" s="10" t="str">
        <f>_xlfn.DISPIMG("ID_3185D9A771FE46DCBCA42EE9563F7C22",1)</f>
        <v>=DISPIMG("ID_3185D9A771FE46DCBCA42EE9563F7C22",1)</v>
      </c>
      <c r="AA177" s="10" t="s">
        <v>34</v>
      </c>
      <c r="AB177" s="10" t="s">
        <v>56</v>
      </c>
      <c r="AC177" s="10" t="s">
        <v>1221</v>
      </c>
    </row>
    <row r="178" s="2" customFormat="1" ht="148.5" hidden="1" spans="1:29">
      <c r="A178" s="10" t="s">
        <v>913</v>
      </c>
      <c r="B178" s="11" t="s">
        <v>1179</v>
      </c>
      <c r="C178" s="10" t="s">
        <v>1211</v>
      </c>
      <c r="D178" s="10" t="s">
        <v>1095</v>
      </c>
      <c r="E178" s="10"/>
      <c r="F178" s="12"/>
      <c r="G178" s="13"/>
      <c r="H178" s="15"/>
      <c r="I178" s="10"/>
      <c r="J178" s="10"/>
      <c r="K178" s="10"/>
      <c r="L178" s="10"/>
      <c r="M178" s="10"/>
      <c r="N178" s="10"/>
      <c r="O178" s="10"/>
      <c r="P178" s="10"/>
      <c r="Q178" s="10"/>
      <c r="R178" s="26"/>
      <c r="S178" s="10" t="s">
        <v>1228</v>
      </c>
      <c r="T178" s="10" t="s">
        <v>32</v>
      </c>
      <c r="U178" s="10" t="s">
        <v>1228</v>
      </c>
      <c r="V178" s="50" t="s">
        <v>33</v>
      </c>
      <c r="W178" s="23"/>
      <c r="X178" s="10" t="s">
        <v>1228</v>
      </c>
      <c r="Y178" s="10" t="s">
        <v>32</v>
      </c>
      <c r="Z178" s="10" t="str">
        <f>_xlfn.DISPIMG("ID_87060883A1B2403BAE7B342F1F3C114E",1)</f>
        <v>=DISPIMG("ID_87060883A1B2403BAE7B342F1F3C114E",1)</v>
      </c>
      <c r="AA178" s="10" t="s">
        <v>34</v>
      </c>
      <c r="AB178" s="10" t="s">
        <v>56</v>
      </c>
      <c r="AC178" s="10" t="s">
        <v>1221</v>
      </c>
    </row>
    <row r="179" s="2" customFormat="1" ht="148.5" hidden="1" spans="1:29">
      <c r="A179" s="10" t="s">
        <v>913</v>
      </c>
      <c r="B179" s="11" t="s">
        <v>1179</v>
      </c>
      <c r="C179" s="10" t="s">
        <v>1211</v>
      </c>
      <c r="D179" s="10" t="s">
        <v>1095</v>
      </c>
      <c r="E179" s="10"/>
      <c r="F179" s="12"/>
      <c r="G179" s="13"/>
      <c r="H179" s="15"/>
      <c r="I179" s="10"/>
      <c r="J179" s="10"/>
      <c r="K179" s="10"/>
      <c r="L179" s="10"/>
      <c r="M179" s="10"/>
      <c r="N179" s="10"/>
      <c r="O179" s="10"/>
      <c r="P179" s="10"/>
      <c r="Q179" s="10"/>
      <c r="R179" s="26"/>
      <c r="S179" s="10" t="s">
        <v>1229</v>
      </c>
      <c r="T179" s="10" t="s">
        <v>32</v>
      </c>
      <c r="U179" s="10" t="s">
        <v>1229</v>
      </c>
      <c r="V179" s="50" t="s">
        <v>33</v>
      </c>
      <c r="W179" s="23"/>
      <c r="X179" s="10" t="s">
        <v>1229</v>
      </c>
      <c r="Y179" s="10" t="s">
        <v>32</v>
      </c>
      <c r="Z179" s="10" t="str">
        <f>_xlfn.DISPIMG("ID_76CAA733D44E4C059DA85B4F83A2546F",1)</f>
        <v>=DISPIMG("ID_76CAA733D44E4C059DA85B4F83A2546F",1)</v>
      </c>
      <c r="AA179" s="10" t="s">
        <v>34</v>
      </c>
      <c r="AB179" s="10" t="s">
        <v>56</v>
      </c>
      <c r="AC179" s="10" t="s">
        <v>1221</v>
      </c>
    </row>
    <row r="180" s="2" customFormat="1" ht="148.5" hidden="1" spans="1:29">
      <c r="A180" s="10" t="s">
        <v>913</v>
      </c>
      <c r="B180" s="11" t="s">
        <v>1179</v>
      </c>
      <c r="C180" s="10" t="s">
        <v>1211</v>
      </c>
      <c r="D180" s="10" t="s">
        <v>1095</v>
      </c>
      <c r="E180" s="10"/>
      <c r="F180" s="12"/>
      <c r="G180" s="13"/>
      <c r="H180" s="16"/>
      <c r="I180" s="10"/>
      <c r="J180" s="10"/>
      <c r="K180" s="10"/>
      <c r="L180" s="10"/>
      <c r="M180" s="10"/>
      <c r="N180" s="10"/>
      <c r="O180" s="10"/>
      <c r="P180" s="10"/>
      <c r="Q180" s="10"/>
      <c r="R180" s="26"/>
      <c r="S180" s="10" t="s">
        <v>1230</v>
      </c>
      <c r="T180" s="10" t="s">
        <v>68</v>
      </c>
      <c r="U180" s="28" t="s">
        <v>1225</v>
      </c>
      <c r="V180" s="50" t="s">
        <v>33</v>
      </c>
      <c r="W180" s="23"/>
      <c r="X180" s="10" t="s">
        <v>1230</v>
      </c>
      <c r="Y180" s="10" t="s">
        <v>68</v>
      </c>
      <c r="Z180" s="10" t="str">
        <f>_xlfn.DISPIMG("ID_E416E7105DA14593B9DC4CB09E646F8B",1)</f>
        <v>=DISPIMG("ID_E416E7105DA14593B9DC4CB09E646F8B",1)</v>
      </c>
      <c r="AA180" s="10" t="s">
        <v>34</v>
      </c>
      <c r="AB180" s="10" t="s">
        <v>1231</v>
      </c>
      <c r="AC180" s="10" t="s">
        <v>1221</v>
      </c>
    </row>
    <row r="181" s="2" customFormat="1" ht="66" hidden="1" spans="1:29">
      <c r="A181" s="10" t="s">
        <v>913</v>
      </c>
      <c r="B181" s="11" t="s">
        <v>1179</v>
      </c>
      <c r="C181" s="10" t="s">
        <v>1232</v>
      </c>
      <c r="D181" s="10" t="s">
        <v>1074</v>
      </c>
      <c r="E181" s="10"/>
      <c r="F181" s="12"/>
      <c r="G181" s="13"/>
      <c r="H181" s="14" t="s">
        <v>1074</v>
      </c>
      <c r="I181" s="10"/>
      <c r="J181" s="10"/>
      <c r="K181" s="10"/>
      <c r="L181" s="10"/>
      <c r="M181" s="10"/>
      <c r="N181" s="10"/>
      <c r="O181" s="10"/>
      <c r="P181" s="10"/>
      <c r="Q181" s="10"/>
      <c r="R181" s="26"/>
      <c r="S181" s="10" t="s">
        <v>1233</v>
      </c>
      <c r="T181" s="10" t="s">
        <v>32</v>
      </c>
      <c r="U181" s="10" t="s">
        <v>1233</v>
      </c>
      <c r="V181" s="50" t="s">
        <v>33</v>
      </c>
      <c r="W181" s="23"/>
      <c r="X181" s="10" t="s">
        <v>1233</v>
      </c>
      <c r="Y181" s="10" t="s">
        <v>32</v>
      </c>
      <c r="Z181" s="10" t="str">
        <f>_xlfn.DISPIMG("ID_4CDDF1CA47944F01BD75B70B0E47ED8A",1)</f>
        <v>=DISPIMG("ID_4CDDF1CA47944F01BD75B70B0E47ED8A",1)</v>
      </c>
      <c r="AA181" s="10" t="s">
        <v>34</v>
      </c>
      <c r="AB181" s="10" t="s">
        <v>56</v>
      </c>
      <c r="AC181" s="10" t="s">
        <v>1213</v>
      </c>
    </row>
    <row r="182" s="2" customFormat="1" ht="66" hidden="1" spans="1:29">
      <c r="A182" s="10" t="s">
        <v>913</v>
      </c>
      <c r="B182" s="11" t="s">
        <v>1179</v>
      </c>
      <c r="C182" s="10" t="s">
        <v>1232</v>
      </c>
      <c r="D182" s="10" t="s">
        <v>1074</v>
      </c>
      <c r="E182" s="10"/>
      <c r="F182" s="12"/>
      <c r="G182" s="13"/>
      <c r="H182" s="15"/>
      <c r="I182" s="10"/>
      <c r="J182" s="10"/>
      <c r="K182" s="10"/>
      <c r="L182" s="10"/>
      <c r="M182" s="10"/>
      <c r="N182" s="10"/>
      <c r="O182" s="10"/>
      <c r="P182" s="10"/>
      <c r="Q182" s="10"/>
      <c r="R182" s="26"/>
      <c r="S182" s="10" t="s">
        <v>1234</v>
      </c>
      <c r="T182" s="10" t="s">
        <v>32</v>
      </c>
      <c r="U182" s="10" t="s">
        <v>1234</v>
      </c>
      <c r="V182" s="50" t="s">
        <v>33</v>
      </c>
      <c r="W182" s="23"/>
      <c r="X182" s="10" t="s">
        <v>1234</v>
      </c>
      <c r="Y182" s="10" t="s">
        <v>32</v>
      </c>
      <c r="Z182" s="10" t="str">
        <f>_xlfn.DISPIMG("ID_FC8A2E7537CA48C291F445D98E2830B9",1)</f>
        <v>=DISPIMG("ID_FC8A2E7537CA48C291F445D98E2830B9",1)</v>
      </c>
      <c r="AA182" s="10" t="s">
        <v>34</v>
      </c>
      <c r="AB182" s="10" t="s">
        <v>56</v>
      </c>
      <c r="AC182" s="10" t="s">
        <v>1213</v>
      </c>
    </row>
    <row r="183" s="2" customFormat="1" ht="66" hidden="1" spans="1:29">
      <c r="A183" s="10" t="s">
        <v>913</v>
      </c>
      <c r="B183" s="11" t="s">
        <v>1179</v>
      </c>
      <c r="C183" s="10" t="s">
        <v>1232</v>
      </c>
      <c r="D183" s="10" t="s">
        <v>1074</v>
      </c>
      <c r="E183" s="10"/>
      <c r="F183" s="12"/>
      <c r="G183" s="13"/>
      <c r="H183" s="15"/>
      <c r="I183" s="10"/>
      <c r="J183" s="10"/>
      <c r="K183" s="10"/>
      <c r="L183" s="10"/>
      <c r="M183" s="10"/>
      <c r="N183" s="10"/>
      <c r="O183" s="10"/>
      <c r="P183" s="10"/>
      <c r="Q183" s="10"/>
      <c r="R183" s="26"/>
      <c r="S183" s="10" t="s">
        <v>1235</v>
      </c>
      <c r="T183" s="10" t="s">
        <v>32</v>
      </c>
      <c r="U183" s="10" t="s">
        <v>1235</v>
      </c>
      <c r="V183" s="50" t="s">
        <v>33</v>
      </c>
      <c r="W183" s="23"/>
      <c r="X183" s="10" t="s">
        <v>1235</v>
      </c>
      <c r="Y183" s="10" t="s">
        <v>32</v>
      </c>
      <c r="Z183" s="10" t="str">
        <f>_xlfn.DISPIMG("ID_7876744764694820A2EEB97B0EF862A6",1)</f>
        <v>=DISPIMG("ID_7876744764694820A2EEB97B0EF862A6",1)</v>
      </c>
      <c r="AA183" s="10" t="s">
        <v>34</v>
      </c>
      <c r="AB183" s="10" t="s">
        <v>56</v>
      </c>
      <c r="AC183" s="10" t="s">
        <v>1213</v>
      </c>
    </row>
    <row r="184" s="2" customFormat="1" ht="66" hidden="1" spans="1:29">
      <c r="A184" s="10" t="s">
        <v>913</v>
      </c>
      <c r="B184" s="11" t="s">
        <v>1179</v>
      </c>
      <c r="C184" s="10" t="s">
        <v>1232</v>
      </c>
      <c r="D184" s="10" t="s">
        <v>1074</v>
      </c>
      <c r="E184" s="10"/>
      <c r="F184" s="12"/>
      <c r="G184" s="13"/>
      <c r="H184" s="16"/>
      <c r="I184" s="10"/>
      <c r="J184" s="10"/>
      <c r="K184" s="10"/>
      <c r="L184" s="10"/>
      <c r="M184" s="10"/>
      <c r="N184" s="10"/>
      <c r="O184" s="10"/>
      <c r="P184" s="10"/>
      <c r="Q184" s="10"/>
      <c r="R184" s="26"/>
      <c r="S184" s="10" t="s">
        <v>1236</v>
      </c>
      <c r="T184" s="10" t="s">
        <v>32</v>
      </c>
      <c r="U184" s="10" t="s">
        <v>1236</v>
      </c>
      <c r="V184" s="50" t="s">
        <v>33</v>
      </c>
      <c r="W184" s="23"/>
      <c r="X184" s="10" t="s">
        <v>1236</v>
      </c>
      <c r="Y184" s="10" t="s">
        <v>32</v>
      </c>
      <c r="Z184" s="10" t="str">
        <f>_xlfn.DISPIMG("ID_F4E9E2D9C2ED4E8BAA1E935B6EF297D1",1)</f>
        <v>=DISPIMG("ID_F4E9E2D9C2ED4E8BAA1E935B6EF297D1",1)</v>
      </c>
      <c r="AA184" s="10" t="s">
        <v>34</v>
      </c>
      <c r="AB184" s="10" t="s">
        <v>56</v>
      </c>
      <c r="AC184" s="10" t="s">
        <v>1213</v>
      </c>
    </row>
    <row r="185" s="2" customFormat="1" ht="66" hidden="1" spans="1:29">
      <c r="A185" s="10" t="s">
        <v>913</v>
      </c>
      <c r="B185" s="11" t="s">
        <v>1179</v>
      </c>
      <c r="C185" s="10" t="s">
        <v>1232</v>
      </c>
      <c r="D185" s="10" t="s">
        <v>1095</v>
      </c>
      <c r="E185" s="10"/>
      <c r="F185" s="12"/>
      <c r="G185" s="13"/>
      <c r="H185" s="10" t="s">
        <v>1095</v>
      </c>
      <c r="I185" s="10"/>
      <c r="J185" s="10"/>
      <c r="K185" s="10"/>
      <c r="L185" s="10"/>
      <c r="M185" s="10"/>
      <c r="N185" s="10"/>
      <c r="O185" s="10"/>
      <c r="P185" s="10"/>
      <c r="Q185" s="10"/>
      <c r="R185" s="26"/>
      <c r="S185" s="10" t="s">
        <v>1237</v>
      </c>
      <c r="T185" s="10" t="s">
        <v>32</v>
      </c>
      <c r="U185" s="10" t="s">
        <v>1237</v>
      </c>
      <c r="V185" s="50" t="s">
        <v>33</v>
      </c>
      <c r="W185" s="23"/>
      <c r="X185" s="10" t="s">
        <v>1237</v>
      </c>
      <c r="Y185" s="10" t="s">
        <v>32</v>
      </c>
      <c r="Z185" s="10" t="str">
        <f>_xlfn.DISPIMG("ID_8ABE13F4074A491390B66A6B79E68FD1",1)</f>
        <v>=DISPIMG("ID_8ABE13F4074A491390B66A6B79E68FD1",1)</v>
      </c>
      <c r="AA185" s="10" t="s">
        <v>34</v>
      </c>
      <c r="AB185" s="10" t="s">
        <v>56</v>
      </c>
      <c r="AC185" s="10"/>
    </row>
    <row r="186" s="2" customFormat="1" ht="105.4" hidden="1" spans="1:29">
      <c r="A186" s="10" t="s">
        <v>913</v>
      </c>
      <c r="B186" s="11" t="s">
        <v>1179</v>
      </c>
      <c r="C186" s="10" t="s">
        <v>1232</v>
      </c>
      <c r="D186" s="10" t="s">
        <v>1101</v>
      </c>
      <c r="E186" s="10"/>
      <c r="F186" s="12"/>
      <c r="G186" s="13"/>
      <c r="H186" s="10" t="s">
        <v>1101</v>
      </c>
      <c r="I186" s="10"/>
      <c r="J186" s="10"/>
      <c r="K186" s="10"/>
      <c r="L186" s="10"/>
      <c r="M186" s="10"/>
      <c r="N186" s="10"/>
      <c r="O186" s="10"/>
      <c r="P186" s="10"/>
      <c r="Q186" s="10"/>
      <c r="R186" s="26"/>
      <c r="S186" s="10" t="s">
        <v>1238</v>
      </c>
      <c r="T186" s="10" t="s">
        <v>32</v>
      </c>
      <c r="U186" s="10" t="s">
        <v>1238</v>
      </c>
      <c r="V186" s="50" t="s">
        <v>33</v>
      </c>
      <c r="W186" s="23"/>
      <c r="X186" s="10" t="s">
        <v>1238</v>
      </c>
      <c r="Y186" s="10" t="s">
        <v>32</v>
      </c>
      <c r="Z186" s="10" t="str">
        <f>_xlfn.DISPIMG("ID_0DF5AB16EDCA4251B1230FD904203B2E",1)</f>
        <v>=DISPIMG("ID_0DF5AB16EDCA4251B1230FD904203B2E",1)</v>
      </c>
      <c r="AA186" s="10" t="s">
        <v>34</v>
      </c>
      <c r="AB186" s="10" t="s">
        <v>56</v>
      </c>
      <c r="AC186" s="10"/>
    </row>
    <row r="187" s="2" customFormat="1" ht="109.8" hidden="1" spans="1:29">
      <c r="A187" s="10" t="s">
        <v>913</v>
      </c>
      <c r="B187" s="11" t="s">
        <v>1179</v>
      </c>
      <c r="C187" s="10" t="s">
        <v>1239</v>
      </c>
      <c r="D187" s="10" t="s">
        <v>1074</v>
      </c>
      <c r="E187" s="10"/>
      <c r="F187" s="12"/>
      <c r="G187" s="13"/>
      <c r="H187" s="14" t="s">
        <v>1074</v>
      </c>
      <c r="I187" s="10"/>
      <c r="J187" s="10"/>
      <c r="K187" s="10"/>
      <c r="L187" s="10"/>
      <c r="M187" s="10"/>
      <c r="N187" s="10"/>
      <c r="O187" s="10"/>
      <c r="P187" s="10"/>
      <c r="Q187" s="10"/>
      <c r="R187" s="26"/>
      <c r="S187" s="10" t="s">
        <v>1240</v>
      </c>
      <c r="T187" s="10" t="s">
        <v>32</v>
      </c>
      <c r="U187" s="10" t="s">
        <v>1240</v>
      </c>
      <c r="V187" s="50" t="s">
        <v>33</v>
      </c>
      <c r="W187" s="23"/>
      <c r="X187" s="10" t="s">
        <v>1240</v>
      </c>
      <c r="Y187" s="10" t="s">
        <v>32</v>
      </c>
      <c r="Z187" s="10" t="str">
        <f>_xlfn.DISPIMG("ID_4DFB53AC7D054F1A87DB80738D23882E",1)</f>
        <v>=DISPIMG("ID_4DFB53AC7D054F1A87DB80738D23882E",1)</v>
      </c>
      <c r="AA187" s="10" t="s">
        <v>34</v>
      </c>
      <c r="AB187" s="10" t="s">
        <v>56</v>
      </c>
      <c r="AC187" s="10"/>
    </row>
    <row r="188" s="2" customFormat="1" ht="110.2" hidden="1" spans="1:29">
      <c r="A188" s="10" t="s">
        <v>913</v>
      </c>
      <c r="B188" s="11" t="s">
        <v>1179</v>
      </c>
      <c r="C188" s="10" t="s">
        <v>1239</v>
      </c>
      <c r="D188" s="10" t="s">
        <v>1074</v>
      </c>
      <c r="E188" s="10"/>
      <c r="F188" s="12"/>
      <c r="G188" s="13"/>
      <c r="H188" s="16"/>
      <c r="I188" s="10"/>
      <c r="J188" s="10"/>
      <c r="K188" s="10"/>
      <c r="L188" s="10"/>
      <c r="M188" s="10"/>
      <c r="N188" s="10"/>
      <c r="O188" s="10"/>
      <c r="P188" s="10"/>
      <c r="Q188" s="10"/>
      <c r="R188" s="26"/>
      <c r="S188" s="10" t="s">
        <v>1241</v>
      </c>
      <c r="T188" s="10" t="s">
        <v>32</v>
      </c>
      <c r="U188" s="10" t="s">
        <v>1241</v>
      </c>
      <c r="V188" s="50" t="s">
        <v>33</v>
      </c>
      <c r="W188" s="23"/>
      <c r="X188" s="10" t="s">
        <v>1241</v>
      </c>
      <c r="Y188" s="10" t="s">
        <v>32</v>
      </c>
      <c r="Z188" s="10" t="str">
        <f>_xlfn.DISPIMG("ID_9CCB0B71CFA941C4B165BED749CD1023",1)</f>
        <v>=DISPIMG("ID_9CCB0B71CFA941C4B165BED749CD1023",1)</v>
      </c>
      <c r="AA188" s="10" t="s">
        <v>34</v>
      </c>
      <c r="AB188" s="10" t="s">
        <v>56</v>
      </c>
      <c r="AC188" s="10"/>
    </row>
    <row r="189" s="2" customFormat="1" ht="112.35" hidden="1" spans="1:29">
      <c r="A189" s="10" t="s">
        <v>913</v>
      </c>
      <c r="B189" s="11" t="s">
        <v>1179</v>
      </c>
      <c r="C189" s="10" t="s">
        <v>1239</v>
      </c>
      <c r="D189" s="10" t="s">
        <v>1095</v>
      </c>
      <c r="E189" s="10"/>
      <c r="F189" s="12"/>
      <c r="G189" s="13"/>
      <c r="H189" s="14" t="s">
        <v>1095</v>
      </c>
      <c r="I189" s="10"/>
      <c r="J189" s="10"/>
      <c r="K189" s="10"/>
      <c r="L189" s="10"/>
      <c r="M189" s="10"/>
      <c r="N189" s="10"/>
      <c r="O189" s="10"/>
      <c r="P189" s="10"/>
      <c r="Q189" s="10"/>
      <c r="R189" s="26"/>
      <c r="S189" s="10" t="s">
        <v>1242</v>
      </c>
      <c r="T189" s="10" t="s">
        <v>32</v>
      </c>
      <c r="U189" s="10" t="s">
        <v>1242</v>
      </c>
      <c r="V189" s="50" t="s">
        <v>33</v>
      </c>
      <c r="W189" s="23"/>
      <c r="X189" s="10" t="s">
        <v>1242</v>
      </c>
      <c r="Y189" s="10" t="s">
        <v>32</v>
      </c>
      <c r="Z189" s="10" t="str">
        <f>_xlfn.DISPIMG("ID_9CFF30A22ABE40E099428F770199EBAE",1)</f>
        <v>=DISPIMG("ID_9CFF30A22ABE40E099428F770199EBAE",1)</v>
      </c>
      <c r="AA189" s="10" t="s">
        <v>34</v>
      </c>
      <c r="AB189" s="10" t="s">
        <v>56</v>
      </c>
      <c r="AC189" s="10"/>
    </row>
    <row r="190" s="2" customFormat="1" ht="110.1" hidden="1" spans="1:29">
      <c r="A190" s="10" t="s">
        <v>913</v>
      </c>
      <c r="B190" s="11" t="s">
        <v>1179</v>
      </c>
      <c r="C190" s="10" t="s">
        <v>1239</v>
      </c>
      <c r="D190" s="10" t="s">
        <v>1095</v>
      </c>
      <c r="E190" s="10"/>
      <c r="F190" s="12"/>
      <c r="G190" s="13"/>
      <c r="H190" s="16"/>
      <c r="I190" s="10"/>
      <c r="J190" s="10"/>
      <c r="K190" s="10"/>
      <c r="L190" s="10"/>
      <c r="M190" s="10"/>
      <c r="N190" s="10"/>
      <c r="O190" s="10"/>
      <c r="P190" s="10"/>
      <c r="Q190" s="10"/>
      <c r="R190" s="26"/>
      <c r="S190" s="10" t="s">
        <v>1243</v>
      </c>
      <c r="T190" s="10" t="s">
        <v>32</v>
      </c>
      <c r="U190" s="10" t="s">
        <v>1243</v>
      </c>
      <c r="V190" s="50" t="s">
        <v>33</v>
      </c>
      <c r="W190" s="23"/>
      <c r="X190" s="10" t="s">
        <v>1243</v>
      </c>
      <c r="Y190" s="10" t="s">
        <v>32</v>
      </c>
      <c r="Z190" s="10" t="str">
        <f>_xlfn.DISPIMG("ID_0C8A0845BF1E4993AA98F7F2C8CF71E2",1)</f>
        <v>=DISPIMG("ID_0C8A0845BF1E4993AA98F7F2C8CF71E2",1)</v>
      </c>
      <c r="AA190" s="10" t="s">
        <v>34</v>
      </c>
      <c r="AB190" s="10" t="s">
        <v>56</v>
      </c>
      <c r="AC190" s="10"/>
    </row>
    <row r="191" s="2" customFormat="1" ht="66" hidden="1" spans="1:29">
      <c r="A191" s="10" t="s">
        <v>913</v>
      </c>
      <c r="B191" s="11" t="s">
        <v>1179</v>
      </c>
      <c r="C191" s="10" t="s">
        <v>1239</v>
      </c>
      <c r="D191" s="10" t="s">
        <v>1101</v>
      </c>
      <c r="E191" s="10"/>
      <c r="F191" s="12"/>
      <c r="G191" s="13"/>
      <c r="H191" s="10" t="s">
        <v>1101</v>
      </c>
      <c r="I191" s="10"/>
      <c r="J191" s="10"/>
      <c r="K191" s="10"/>
      <c r="L191" s="10"/>
      <c r="M191" s="10"/>
      <c r="N191" s="10"/>
      <c r="O191" s="10"/>
      <c r="P191" s="10"/>
      <c r="Q191" s="10"/>
      <c r="R191" s="26"/>
      <c r="S191" s="10" t="s">
        <v>1244</v>
      </c>
      <c r="T191" s="10" t="s">
        <v>32</v>
      </c>
      <c r="U191" s="10" t="s">
        <v>1244</v>
      </c>
      <c r="V191" s="50" t="s">
        <v>33</v>
      </c>
      <c r="W191" s="23"/>
      <c r="X191" s="10" t="s">
        <v>1244</v>
      </c>
      <c r="Y191" s="10" t="s">
        <v>32</v>
      </c>
      <c r="Z191" s="10" t="str">
        <f>_xlfn.DISPIMG("ID_755AA270800B469B965A8ED954C27561",1)</f>
        <v>=DISPIMG("ID_755AA270800B469B965A8ED954C27561",1)</v>
      </c>
      <c r="AA191" s="10" t="s">
        <v>34</v>
      </c>
      <c r="AB191" s="10" t="s">
        <v>56</v>
      </c>
      <c r="AC191" s="10"/>
    </row>
    <row r="192" s="2" customFormat="1" ht="66" spans="1:29">
      <c r="A192" s="10" t="s">
        <v>913</v>
      </c>
      <c r="B192" s="11" t="s">
        <v>1245</v>
      </c>
      <c r="C192" s="10" t="s">
        <v>1245</v>
      </c>
      <c r="D192" s="10" t="s">
        <v>1245</v>
      </c>
      <c r="E192" s="10"/>
      <c r="F192" s="12"/>
      <c r="G192" s="13"/>
      <c r="H192" s="10" t="s">
        <v>1245</v>
      </c>
      <c r="I192" s="10"/>
      <c r="J192" s="10"/>
      <c r="K192" s="10"/>
      <c r="L192" s="10"/>
      <c r="M192" s="10"/>
      <c r="N192" s="10"/>
      <c r="O192" s="10"/>
      <c r="P192" s="10"/>
      <c r="Q192" s="10"/>
      <c r="R192" s="26"/>
      <c r="S192" s="10" t="s">
        <v>1246</v>
      </c>
      <c r="T192" s="10" t="s">
        <v>68</v>
      </c>
      <c r="U192" s="28" t="s">
        <v>1247</v>
      </c>
      <c r="V192" s="50" t="s">
        <v>33</v>
      </c>
      <c r="W192" s="23"/>
      <c r="X192" s="10" t="s">
        <v>1246</v>
      </c>
      <c r="Y192" s="10" t="s">
        <v>68</v>
      </c>
      <c r="Z192" s="10" t="str">
        <f>_xlfn.DISPIMG("ID_6034C9CDD9B34DFE9E843BC424893E2C",1)</f>
        <v>=DISPIMG("ID_6034C9CDD9B34DFE9E843BC424893E2C",1)</v>
      </c>
      <c r="AA192" s="10" t="s">
        <v>34</v>
      </c>
      <c r="AB192" s="10" t="s">
        <v>1248</v>
      </c>
      <c r="AC192" s="10"/>
    </row>
    <row r="193" s="2" customFormat="1" ht="84.85" spans="1:29">
      <c r="A193" s="10" t="s">
        <v>913</v>
      </c>
      <c r="B193" s="11" t="s">
        <v>1245</v>
      </c>
      <c r="C193" s="10" t="s">
        <v>136</v>
      </c>
      <c r="D193" s="10" t="s">
        <v>136</v>
      </c>
      <c r="E193" s="10"/>
      <c r="F193" s="12"/>
      <c r="G193" s="13"/>
      <c r="H193" s="10" t="s">
        <v>136</v>
      </c>
      <c r="I193" s="10"/>
      <c r="J193" s="10"/>
      <c r="K193" s="10"/>
      <c r="L193" s="10"/>
      <c r="M193" s="10"/>
      <c r="N193" s="10"/>
      <c r="O193" s="10"/>
      <c r="P193" s="10"/>
      <c r="Q193" s="10"/>
      <c r="R193" s="26"/>
      <c r="S193" s="10" t="s">
        <v>1249</v>
      </c>
      <c r="T193" s="10" t="s">
        <v>68</v>
      </c>
      <c r="U193" s="28" t="s">
        <v>1250</v>
      </c>
      <c r="V193" s="50" t="s">
        <v>33</v>
      </c>
      <c r="W193" s="23"/>
      <c r="X193" s="10" t="s">
        <v>1249</v>
      </c>
      <c r="Y193" s="10" t="s">
        <v>68</v>
      </c>
      <c r="Z193" s="10" t="str">
        <f>_xlfn.DISPIMG("ID_22981E4B82754FECAED8209192CBD996",1)</f>
        <v>=DISPIMG("ID_22981E4B82754FECAED8209192CBD996",1)</v>
      </c>
      <c r="AA193" s="10" t="s">
        <v>34</v>
      </c>
      <c r="AB193" s="10" t="s">
        <v>1251</v>
      </c>
      <c r="AC193" s="10"/>
    </row>
    <row r="194" s="2" customFormat="1" ht="66.35" spans="1:29">
      <c r="A194" s="10" t="s">
        <v>913</v>
      </c>
      <c r="B194" s="11" t="s">
        <v>1245</v>
      </c>
      <c r="C194" s="10" t="s">
        <v>210</v>
      </c>
      <c r="D194" s="10" t="s">
        <v>210</v>
      </c>
      <c r="E194" s="10"/>
      <c r="F194" s="12"/>
      <c r="G194" s="13"/>
      <c r="H194" s="10" t="s">
        <v>210</v>
      </c>
      <c r="I194" s="10"/>
      <c r="J194" s="10"/>
      <c r="K194" s="10"/>
      <c r="L194" s="10"/>
      <c r="M194" s="10"/>
      <c r="N194" s="10"/>
      <c r="O194" s="10"/>
      <c r="P194" s="10"/>
      <c r="Q194" s="10"/>
      <c r="R194" s="26"/>
      <c r="S194" s="10" t="s">
        <v>1252</v>
      </c>
      <c r="T194" s="10" t="s">
        <v>68</v>
      </c>
      <c r="U194" s="10" t="s">
        <v>1250</v>
      </c>
      <c r="V194" s="50" t="s">
        <v>33</v>
      </c>
      <c r="W194" s="23"/>
      <c r="X194" s="10" t="s">
        <v>1252</v>
      </c>
      <c r="Y194" s="10" t="s">
        <v>68</v>
      </c>
      <c r="Z194" s="10" t="str">
        <f>_xlfn.DISPIMG("ID_C73F2BCB8D1041F1A202BAE1A60AD684",1)</f>
        <v>=DISPIMG("ID_C73F2BCB8D1041F1A202BAE1A60AD684",1)</v>
      </c>
      <c r="AA194" s="10" t="s">
        <v>34</v>
      </c>
      <c r="AB194" s="10" t="s">
        <v>1253</v>
      </c>
      <c r="AC194" s="10"/>
    </row>
    <row r="195" s="2" customFormat="1" ht="66" spans="1:29">
      <c r="A195" s="10" t="s">
        <v>913</v>
      </c>
      <c r="B195" s="11" t="s">
        <v>1245</v>
      </c>
      <c r="C195" s="10" t="s">
        <v>269</v>
      </c>
      <c r="D195" s="10" t="s">
        <v>269</v>
      </c>
      <c r="E195" s="10"/>
      <c r="F195" s="12"/>
      <c r="G195" s="13"/>
      <c r="H195" s="10" t="s">
        <v>269</v>
      </c>
      <c r="I195" s="10"/>
      <c r="J195" s="10"/>
      <c r="K195" s="10"/>
      <c r="L195" s="10"/>
      <c r="M195" s="10"/>
      <c r="N195" s="10"/>
      <c r="O195" s="10"/>
      <c r="P195" s="10"/>
      <c r="Q195" s="10"/>
      <c r="R195" s="26"/>
      <c r="S195" s="10" t="s">
        <v>1254</v>
      </c>
      <c r="T195" s="10" t="s">
        <v>68</v>
      </c>
      <c r="U195" s="28" t="s">
        <v>1250</v>
      </c>
      <c r="V195" s="50" t="s">
        <v>33</v>
      </c>
      <c r="W195" s="23"/>
      <c r="X195" s="10" t="s">
        <v>1254</v>
      </c>
      <c r="Y195" s="10" t="s">
        <v>68</v>
      </c>
      <c r="Z195" s="10" t="str">
        <f>_xlfn.DISPIMG("ID_788C886BF01D4B00B3253F77B99C3D99",1)</f>
        <v>=DISPIMG("ID_788C886BF01D4B00B3253F77B99C3D99",1)</v>
      </c>
      <c r="AA195" s="10" t="s">
        <v>34</v>
      </c>
      <c r="AB195" s="10" t="s">
        <v>1255</v>
      </c>
      <c r="AC195" s="10"/>
    </row>
    <row r="196" s="2" customFormat="1" ht="66" hidden="1" spans="1:29">
      <c r="A196" s="10" t="s">
        <v>913</v>
      </c>
      <c r="B196" s="11" t="s">
        <v>891</v>
      </c>
      <c r="C196" s="10" t="s">
        <v>1256</v>
      </c>
      <c r="D196" s="10" t="s">
        <v>1256</v>
      </c>
      <c r="E196" s="10"/>
      <c r="F196" s="12"/>
      <c r="G196" s="13"/>
      <c r="H196" s="10" t="s">
        <v>1256</v>
      </c>
      <c r="I196" s="10"/>
      <c r="J196" s="10"/>
      <c r="K196" s="10"/>
      <c r="L196" s="10"/>
      <c r="M196" s="10"/>
      <c r="N196" s="10"/>
      <c r="O196" s="10"/>
      <c r="P196" s="10"/>
      <c r="Q196" s="10"/>
      <c r="R196" s="26"/>
      <c r="S196" s="10" t="s">
        <v>1256</v>
      </c>
      <c r="T196" s="10" t="s">
        <v>32</v>
      </c>
      <c r="U196" s="10" t="s">
        <v>1256</v>
      </c>
      <c r="V196" s="50" t="s">
        <v>33</v>
      </c>
      <c r="W196" s="23"/>
      <c r="X196" s="10" t="s">
        <v>1256</v>
      </c>
      <c r="Y196" s="10" t="s">
        <v>32</v>
      </c>
      <c r="Z196" s="10" t="str">
        <f>_xlfn.DISPIMG("ID_DC703AFA53ED482E899596DC645246DF",1)</f>
        <v>=DISPIMG("ID_DC703AFA53ED482E899596DC645246DF",1)</v>
      </c>
      <c r="AA196" s="10" t="s">
        <v>34</v>
      </c>
      <c r="AB196" s="10" t="s">
        <v>56</v>
      </c>
      <c r="AC196" s="10"/>
    </row>
    <row r="197" s="2" customFormat="1" ht="66" hidden="1" spans="1:29">
      <c r="A197" s="10" t="s">
        <v>913</v>
      </c>
      <c r="B197" s="11" t="s">
        <v>891</v>
      </c>
      <c r="C197" s="10" t="s">
        <v>1257</v>
      </c>
      <c r="D197" s="10" t="s">
        <v>1257</v>
      </c>
      <c r="E197" s="10"/>
      <c r="F197" s="12"/>
      <c r="G197" s="13"/>
      <c r="H197" s="10" t="s">
        <v>1257</v>
      </c>
      <c r="I197" s="10"/>
      <c r="J197" s="10"/>
      <c r="K197" s="10"/>
      <c r="L197" s="10"/>
      <c r="M197" s="10"/>
      <c r="N197" s="10"/>
      <c r="O197" s="10"/>
      <c r="P197" s="10"/>
      <c r="Q197" s="10"/>
      <c r="R197" s="26"/>
      <c r="S197" s="10" t="s">
        <v>1258</v>
      </c>
      <c r="T197" s="10" t="s">
        <v>32</v>
      </c>
      <c r="U197" s="10" t="s">
        <v>1258</v>
      </c>
      <c r="V197" s="50" t="s">
        <v>33</v>
      </c>
      <c r="W197" s="23"/>
      <c r="X197" s="10" t="s">
        <v>1258</v>
      </c>
      <c r="Y197" s="10" t="s">
        <v>32</v>
      </c>
      <c r="Z197" s="10" t="str">
        <f>_xlfn.DISPIMG("ID_D5427F4822634696AD1F329334C325D8",1)</f>
        <v>=DISPIMG("ID_D5427F4822634696AD1F329334C325D8",1)</v>
      </c>
      <c r="AA197" s="10" t="s">
        <v>34</v>
      </c>
      <c r="AB197" s="10" t="s">
        <v>56</v>
      </c>
      <c r="AC197" s="10"/>
    </row>
    <row r="198" s="2" customFormat="1" spans="1:29">
      <c r="A198" s="10"/>
      <c r="B198" s="10"/>
      <c r="C198" s="28"/>
      <c r="D198" s="29"/>
      <c r="E198" s="59"/>
      <c r="F198" s="33"/>
      <c r="G198" s="29"/>
      <c r="H198" s="31"/>
      <c r="I198" s="34"/>
      <c r="J198" s="34"/>
      <c r="K198" s="34"/>
      <c r="L198" s="34"/>
      <c r="M198" s="34"/>
      <c r="N198" s="34"/>
      <c r="O198" s="34"/>
      <c r="P198" s="34"/>
      <c r="Q198" s="34"/>
      <c r="R198" s="34"/>
      <c r="S198" s="12"/>
      <c r="T198" s="10"/>
      <c r="U198" s="10"/>
      <c r="V198" s="10"/>
      <c r="W198" s="23"/>
      <c r="X198" s="10"/>
      <c r="Y198" s="10"/>
      <c r="Z198" s="10"/>
      <c r="AA198" s="10"/>
      <c r="AB198" s="10"/>
      <c r="AC198" s="10"/>
    </row>
    <row r="199" s="2" customFormat="1" spans="1:29">
      <c r="A199" s="10"/>
      <c r="B199" s="10"/>
      <c r="C199" s="28"/>
      <c r="D199" s="29"/>
      <c r="E199" s="59"/>
      <c r="F199" s="33"/>
      <c r="G199" s="29"/>
      <c r="H199" s="31"/>
      <c r="I199" s="34"/>
      <c r="J199" s="34"/>
      <c r="K199" s="34"/>
      <c r="L199" s="34"/>
      <c r="M199" s="34"/>
      <c r="N199" s="34"/>
      <c r="O199" s="34"/>
      <c r="P199" s="34"/>
      <c r="Q199" s="34"/>
      <c r="R199" s="34"/>
      <c r="S199" s="12"/>
      <c r="T199" s="10"/>
      <c r="U199" s="10"/>
      <c r="V199" s="10"/>
      <c r="W199" s="23"/>
      <c r="X199" s="10"/>
      <c r="Y199" s="10"/>
      <c r="Z199" s="10"/>
      <c r="AA199" s="10"/>
      <c r="AB199" s="10"/>
      <c r="AC199" s="10"/>
    </row>
    <row r="200" s="2" customFormat="1" spans="1:29">
      <c r="A200" s="10"/>
      <c r="B200" s="10"/>
      <c r="C200" s="28"/>
      <c r="D200" s="29"/>
      <c r="E200" s="59"/>
      <c r="F200" s="33"/>
      <c r="G200" s="29"/>
      <c r="H200" s="31"/>
      <c r="I200" s="34"/>
      <c r="J200" s="34"/>
      <c r="K200" s="34"/>
      <c r="L200" s="34"/>
      <c r="M200" s="34"/>
      <c r="N200" s="34"/>
      <c r="O200" s="34"/>
      <c r="P200" s="34"/>
      <c r="Q200" s="34"/>
      <c r="R200" s="34"/>
      <c r="S200" s="12"/>
      <c r="T200" s="10"/>
      <c r="U200" s="10"/>
      <c r="V200" s="10"/>
      <c r="W200" s="23"/>
      <c r="X200" s="10"/>
      <c r="Y200" s="10"/>
      <c r="Z200" s="10"/>
      <c r="AA200" s="10"/>
      <c r="AB200" s="10"/>
      <c r="AC200" s="10"/>
    </row>
    <row r="201" s="2" customFormat="1" spans="1:29">
      <c r="A201" s="10"/>
      <c r="B201" s="10"/>
      <c r="C201" s="28"/>
      <c r="D201" s="29"/>
      <c r="E201" s="59"/>
      <c r="F201" s="33"/>
      <c r="G201" s="29"/>
      <c r="H201" s="31"/>
      <c r="I201" s="34"/>
      <c r="J201" s="34"/>
      <c r="K201" s="34"/>
      <c r="L201" s="34"/>
      <c r="M201" s="34"/>
      <c r="N201" s="34"/>
      <c r="O201" s="34"/>
      <c r="P201" s="34"/>
      <c r="Q201" s="34"/>
      <c r="R201" s="34"/>
      <c r="S201" s="12"/>
      <c r="T201" s="10"/>
      <c r="U201" s="10"/>
      <c r="V201" s="10"/>
      <c r="W201" s="23"/>
      <c r="X201" s="10"/>
      <c r="Y201" s="10"/>
      <c r="Z201" s="10"/>
      <c r="AA201" s="10"/>
      <c r="AB201" s="10"/>
      <c r="AC201" s="10"/>
    </row>
    <row r="202" s="2" customFormat="1" spans="1:29">
      <c r="A202" s="10"/>
      <c r="B202" s="10"/>
      <c r="C202" s="28"/>
      <c r="D202" s="29"/>
      <c r="E202" s="59"/>
      <c r="F202" s="33"/>
      <c r="G202" s="29"/>
      <c r="H202" s="31"/>
      <c r="I202" s="34"/>
      <c r="J202" s="34"/>
      <c r="K202" s="34"/>
      <c r="L202" s="34"/>
      <c r="M202" s="34"/>
      <c r="N202" s="34"/>
      <c r="O202" s="34"/>
      <c r="P202" s="34"/>
      <c r="Q202" s="34"/>
      <c r="R202" s="34"/>
      <c r="S202" s="12"/>
      <c r="T202" s="10"/>
      <c r="U202" s="10"/>
      <c r="V202" s="10"/>
      <c r="W202" s="23"/>
      <c r="X202" s="10"/>
      <c r="Y202" s="10"/>
      <c r="Z202" s="10"/>
      <c r="AA202" s="10"/>
      <c r="AB202" s="10"/>
      <c r="AC202" s="10"/>
    </row>
    <row r="203" s="2" customFormat="1" spans="1:29">
      <c r="A203" s="10"/>
      <c r="B203" s="10"/>
      <c r="C203" s="28"/>
      <c r="D203" s="29"/>
      <c r="E203" s="59"/>
      <c r="F203" s="33"/>
      <c r="G203" s="29"/>
      <c r="H203" s="31"/>
      <c r="I203" s="34"/>
      <c r="J203" s="34"/>
      <c r="K203" s="34"/>
      <c r="L203" s="34"/>
      <c r="M203" s="34"/>
      <c r="N203" s="34"/>
      <c r="O203" s="34"/>
      <c r="P203" s="34"/>
      <c r="Q203" s="34"/>
      <c r="R203" s="34"/>
      <c r="S203" s="12"/>
      <c r="T203" s="10"/>
      <c r="U203" s="10"/>
      <c r="V203" s="10"/>
      <c r="W203" s="23"/>
      <c r="X203" s="10"/>
      <c r="Y203" s="10"/>
      <c r="Z203" s="10"/>
      <c r="AA203" s="10"/>
      <c r="AB203" s="10"/>
      <c r="AC203" s="10"/>
    </row>
    <row r="204" s="2" customFormat="1" spans="1:29">
      <c r="A204" s="10"/>
      <c r="B204" s="10"/>
      <c r="C204" s="28"/>
      <c r="D204" s="29"/>
      <c r="E204" s="59"/>
      <c r="F204" s="37"/>
      <c r="G204" s="29"/>
      <c r="H204" s="31"/>
      <c r="I204" s="34"/>
      <c r="J204" s="34"/>
      <c r="K204" s="34"/>
      <c r="L204" s="34"/>
      <c r="M204" s="34"/>
      <c r="N204" s="34"/>
      <c r="O204" s="34"/>
      <c r="P204" s="34"/>
      <c r="Q204" s="34"/>
      <c r="R204" s="34"/>
      <c r="S204" s="12"/>
      <c r="T204" s="10"/>
      <c r="U204" s="10"/>
      <c r="V204" s="10"/>
      <c r="W204" s="23"/>
      <c r="X204" s="10"/>
      <c r="Y204" s="10"/>
      <c r="Z204" s="10"/>
      <c r="AA204" s="10"/>
      <c r="AB204" s="10"/>
      <c r="AC204" s="10"/>
    </row>
    <row r="205" s="2" customFormat="1" spans="1:29">
      <c r="A205" s="10"/>
      <c r="B205" s="10"/>
      <c r="C205" s="28"/>
      <c r="D205" s="29"/>
      <c r="E205" s="59"/>
      <c r="F205" s="33"/>
      <c r="G205" s="29"/>
      <c r="H205" s="31"/>
      <c r="I205" s="34"/>
      <c r="J205" s="34"/>
      <c r="K205" s="34"/>
      <c r="L205" s="34"/>
      <c r="M205" s="34"/>
      <c r="N205" s="34"/>
      <c r="O205" s="34"/>
      <c r="P205" s="34"/>
      <c r="Q205" s="34"/>
      <c r="R205" s="34"/>
      <c r="S205" s="12"/>
      <c r="T205" s="10"/>
      <c r="U205" s="10"/>
      <c r="V205" s="10"/>
      <c r="W205" s="23"/>
      <c r="X205" s="10"/>
      <c r="Y205" s="10"/>
      <c r="Z205" s="10"/>
      <c r="AA205" s="10"/>
      <c r="AB205" s="10"/>
      <c r="AC205" s="10"/>
    </row>
    <row r="206" s="2" customFormat="1" spans="1:29">
      <c r="A206" s="10"/>
      <c r="B206" s="10"/>
      <c r="C206" s="28"/>
      <c r="D206" s="29"/>
      <c r="E206" s="59"/>
      <c r="F206" s="37"/>
      <c r="G206" s="29"/>
      <c r="H206" s="31"/>
      <c r="I206" s="34"/>
      <c r="J206" s="34"/>
      <c r="K206" s="34"/>
      <c r="L206" s="34"/>
      <c r="M206" s="34"/>
      <c r="N206" s="34"/>
      <c r="O206" s="34"/>
      <c r="P206" s="34"/>
      <c r="Q206" s="34"/>
      <c r="R206" s="34"/>
      <c r="S206" s="12"/>
      <c r="T206" s="10"/>
      <c r="U206" s="10"/>
      <c r="V206" s="10"/>
      <c r="W206" s="23"/>
      <c r="X206" s="10"/>
      <c r="Y206" s="10"/>
      <c r="Z206" s="10"/>
      <c r="AA206" s="10"/>
      <c r="AB206" s="10"/>
      <c r="AC206" s="10"/>
    </row>
    <row r="207" s="2" customFormat="1" spans="1:29">
      <c r="A207" s="10"/>
      <c r="B207" s="10"/>
      <c r="C207" s="28"/>
      <c r="D207" s="29"/>
      <c r="E207" s="59"/>
      <c r="F207" s="37"/>
      <c r="G207" s="29"/>
      <c r="H207" s="31"/>
      <c r="I207" s="34"/>
      <c r="J207" s="34"/>
      <c r="K207" s="34"/>
      <c r="L207" s="34"/>
      <c r="M207" s="34"/>
      <c r="N207" s="34"/>
      <c r="O207" s="34"/>
      <c r="P207" s="34"/>
      <c r="Q207" s="34"/>
      <c r="R207" s="34"/>
      <c r="S207" s="12"/>
      <c r="T207" s="10"/>
      <c r="U207" s="10"/>
      <c r="V207" s="10"/>
      <c r="W207" s="23"/>
      <c r="X207" s="10"/>
      <c r="Y207" s="10"/>
      <c r="Z207" s="10"/>
      <c r="AA207" s="10"/>
      <c r="AB207" s="10"/>
      <c r="AC207" s="10"/>
    </row>
    <row r="208" s="2" customFormat="1" spans="1:29">
      <c r="A208" s="10"/>
      <c r="B208" s="10"/>
      <c r="C208" s="28"/>
      <c r="D208" s="29"/>
      <c r="E208" s="59"/>
      <c r="F208" s="37"/>
      <c r="G208" s="29"/>
      <c r="H208" s="31"/>
      <c r="I208" s="34"/>
      <c r="J208" s="34"/>
      <c r="K208" s="34"/>
      <c r="L208" s="34"/>
      <c r="M208" s="34"/>
      <c r="N208" s="34"/>
      <c r="O208" s="34"/>
      <c r="P208" s="34"/>
      <c r="Q208" s="34"/>
      <c r="R208" s="34"/>
      <c r="S208" s="12"/>
      <c r="T208" s="10"/>
      <c r="U208" s="10"/>
      <c r="V208" s="10"/>
      <c r="W208" s="23"/>
      <c r="X208" s="10"/>
      <c r="Y208" s="10"/>
      <c r="Z208" s="10"/>
      <c r="AA208" s="10"/>
      <c r="AB208" s="10"/>
      <c r="AC208" s="10"/>
    </row>
    <row r="209" s="2" customFormat="1" spans="1:29">
      <c r="A209" s="10"/>
      <c r="B209" s="10"/>
      <c r="C209" s="28"/>
      <c r="D209" s="29"/>
      <c r="E209" s="59"/>
      <c r="F209" s="37"/>
      <c r="G209" s="29"/>
      <c r="H209" s="31"/>
      <c r="I209" s="34"/>
      <c r="J209" s="34"/>
      <c r="K209" s="34"/>
      <c r="L209" s="34"/>
      <c r="M209" s="34"/>
      <c r="N209" s="34"/>
      <c r="O209" s="34"/>
      <c r="P209" s="34"/>
      <c r="Q209" s="34"/>
      <c r="R209" s="34"/>
      <c r="S209" s="12"/>
      <c r="T209" s="10"/>
      <c r="U209" s="10"/>
      <c r="V209" s="10"/>
      <c r="W209" s="23"/>
      <c r="X209" s="10"/>
      <c r="Y209" s="10"/>
      <c r="Z209" s="10"/>
      <c r="AA209" s="10"/>
      <c r="AB209" s="10"/>
      <c r="AC209" s="10"/>
    </row>
    <row r="210" s="2" customFormat="1" spans="1:29">
      <c r="A210" s="10"/>
      <c r="B210" s="10"/>
      <c r="C210" s="28"/>
      <c r="D210" s="29"/>
      <c r="E210" s="59"/>
      <c r="F210" s="37"/>
      <c r="G210" s="29"/>
      <c r="H210" s="31"/>
      <c r="I210" s="34"/>
      <c r="J210" s="34"/>
      <c r="K210" s="34"/>
      <c r="L210" s="34"/>
      <c r="M210" s="34"/>
      <c r="N210" s="34"/>
      <c r="O210" s="34"/>
      <c r="P210" s="34"/>
      <c r="Q210" s="34"/>
      <c r="R210" s="34"/>
      <c r="S210" s="12"/>
      <c r="T210" s="10"/>
      <c r="U210" s="10"/>
      <c r="V210" s="10"/>
      <c r="W210" s="23"/>
      <c r="X210" s="10"/>
      <c r="Y210" s="10"/>
      <c r="Z210" s="10"/>
      <c r="AA210" s="10"/>
      <c r="AB210" s="10"/>
      <c r="AC210" s="10"/>
    </row>
    <row r="211" s="2" customFormat="1" spans="1:29">
      <c r="A211" s="10"/>
      <c r="B211" s="10"/>
      <c r="C211" s="28"/>
      <c r="D211" s="29"/>
      <c r="E211" s="59"/>
      <c r="F211" s="37"/>
      <c r="G211" s="29"/>
      <c r="H211" s="31"/>
      <c r="I211" s="34"/>
      <c r="J211" s="34"/>
      <c r="K211" s="34"/>
      <c r="L211" s="34"/>
      <c r="M211" s="34"/>
      <c r="N211" s="34"/>
      <c r="O211" s="34"/>
      <c r="P211" s="34"/>
      <c r="Q211" s="34"/>
      <c r="R211" s="34"/>
      <c r="S211" s="12"/>
      <c r="T211" s="10"/>
      <c r="U211" s="10"/>
      <c r="V211" s="10"/>
      <c r="W211" s="23"/>
      <c r="X211" s="10"/>
      <c r="Y211" s="10"/>
      <c r="Z211" s="10"/>
      <c r="AA211" s="10"/>
      <c r="AB211" s="10"/>
      <c r="AC211" s="10"/>
    </row>
    <row r="212" s="2" customFormat="1" spans="1:29">
      <c r="A212" s="10"/>
      <c r="B212" s="10"/>
      <c r="C212" s="28"/>
      <c r="D212" s="29"/>
      <c r="E212" s="59"/>
      <c r="F212" s="37"/>
      <c r="G212" s="29"/>
      <c r="H212" s="31"/>
      <c r="I212" s="34"/>
      <c r="J212" s="34"/>
      <c r="K212" s="34"/>
      <c r="L212" s="34"/>
      <c r="M212" s="34"/>
      <c r="N212" s="34"/>
      <c r="O212" s="34"/>
      <c r="P212" s="34"/>
      <c r="Q212" s="34"/>
      <c r="R212" s="34"/>
      <c r="S212" s="12"/>
      <c r="T212" s="10"/>
      <c r="U212" s="10"/>
      <c r="V212" s="10"/>
      <c r="W212" s="23"/>
      <c r="X212" s="10"/>
      <c r="Y212" s="10"/>
      <c r="Z212" s="10"/>
      <c r="AA212" s="10"/>
      <c r="AB212" s="10"/>
      <c r="AC212" s="10"/>
    </row>
    <row r="213" s="2" customFormat="1" spans="1:29">
      <c r="A213" s="10"/>
      <c r="B213" s="10"/>
      <c r="C213" s="28"/>
      <c r="D213" s="29"/>
      <c r="E213" s="59"/>
      <c r="F213" s="37"/>
      <c r="G213" s="29"/>
      <c r="H213" s="31"/>
      <c r="I213" s="34"/>
      <c r="J213" s="34"/>
      <c r="K213" s="34"/>
      <c r="L213" s="34"/>
      <c r="M213" s="34"/>
      <c r="N213" s="34"/>
      <c r="O213" s="34"/>
      <c r="P213" s="34"/>
      <c r="Q213" s="34"/>
      <c r="R213" s="34"/>
      <c r="S213" s="12"/>
      <c r="T213" s="10"/>
      <c r="U213" s="10"/>
      <c r="V213" s="10"/>
      <c r="W213" s="23"/>
      <c r="X213" s="10"/>
      <c r="Y213" s="10"/>
      <c r="Z213" s="10"/>
      <c r="AA213" s="10"/>
      <c r="AB213" s="10"/>
      <c r="AC213" s="10"/>
    </row>
    <row r="214" s="2" customFormat="1" spans="1:29">
      <c r="A214" s="10"/>
      <c r="B214" s="10"/>
      <c r="C214" s="28"/>
      <c r="D214" s="29"/>
      <c r="E214" s="59"/>
      <c r="F214" s="37"/>
      <c r="G214" s="29"/>
      <c r="H214" s="31"/>
      <c r="I214" s="34"/>
      <c r="J214" s="34"/>
      <c r="K214" s="34"/>
      <c r="L214" s="34"/>
      <c r="M214" s="34"/>
      <c r="N214" s="34"/>
      <c r="O214" s="34"/>
      <c r="P214" s="34"/>
      <c r="Q214" s="34"/>
      <c r="R214" s="34"/>
      <c r="S214" s="12"/>
      <c r="T214" s="10"/>
      <c r="U214" s="10"/>
      <c r="V214" s="10"/>
      <c r="W214" s="23"/>
      <c r="X214" s="10"/>
      <c r="Y214" s="10"/>
      <c r="Z214" s="10"/>
      <c r="AA214" s="10"/>
      <c r="AB214" s="10"/>
      <c r="AC214" s="10"/>
    </row>
    <row r="215" s="2" customFormat="1" spans="1:29">
      <c r="A215" s="10"/>
      <c r="B215" s="10"/>
      <c r="C215" s="28"/>
      <c r="D215" s="29"/>
      <c r="E215" s="59"/>
      <c r="F215" s="37"/>
      <c r="G215" s="29"/>
      <c r="H215" s="31"/>
      <c r="I215" s="34"/>
      <c r="J215" s="34"/>
      <c r="K215" s="34"/>
      <c r="L215" s="34"/>
      <c r="M215" s="34"/>
      <c r="N215" s="34"/>
      <c r="O215" s="34"/>
      <c r="P215" s="34"/>
      <c r="Q215" s="34"/>
      <c r="R215" s="34"/>
      <c r="S215" s="12"/>
      <c r="T215" s="10"/>
      <c r="U215" s="10"/>
      <c r="V215" s="10"/>
      <c r="W215" s="23"/>
      <c r="X215" s="10"/>
      <c r="Y215" s="10"/>
      <c r="Z215" s="10"/>
      <c r="AA215" s="10"/>
      <c r="AB215" s="10"/>
      <c r="AC215" s="10"/>
    </row>
    <row r="216" s="2" customFormat="1" spans="1:29">
      <c r="A216" s="10"/>
      <c r="B216" s="10"/>
      <c r="C216" s="28"/>
      <c r="D216" s="29"/>
      <c r="E216" s="59"/>
      <c r="F216" s="37"/>
      <c r="G216" s="29"/>
      <c r="H216" s="31"/>
      <c r="I216" s="34"/>
      <c r="J216" s="34"/>
      <c r="K216" s="34"/>
      <c r="L216" s="34"/>
      <c r="M216" s="34"/>
      <c r="N216" s="34"/>
      <c r="O216" s="34"/>
      <c r="P216" s="34"/>
      <c r="Q216" s="34"/>
      <c r="R216" s="34"/>
      <c r="S216" s="12"/>
      <c r="T216" s="10"/>
      <c r="U216" s="10"/>
      <c r="V216" s="10"/>
      <c r="W216" s="23"/>
      <c r="X216" s="10"/>
      <c r="Y216" s="10"/>
      <c r="Z216" s="10"/>
      <c r="AA216" s="10"/>
      <c r="AB216" s="10"/>
      <c r="AC216" s="10"/>
    </row>
    <row r="217" s="2" customFormat="1" spans="1:29">
      <c r="A217" s="10"/>
      <c r="B217" s="10"/>
      <c r="C217" s="28"/>
      <c r="D217" s="29"/>
      <c r="E217" s="59"/>
      <c r="F217" s="37"/>
      <c r="G217" s="29"/>
      <c r="H217" s="31"/>
      <c r="I217" s="34"/>
      <c r="J217" s="34"/>
      <c r="K217" s="34"/>
      <c r="L217" s="34"/>
      <c r="M217" s="34"/>
      <c r="N217" s="34"/>
      <c r="O217" s="34"/>
      <c r="P217" s="34"/>
      <c r="Q217" s="34"/>
      <c r="R217" s="34"/>
      <c r="S217" s="35"/>
      <c r="T217" s="10"/>
      <c r="U217" s="10"/>
      <c r="V217" s="10"/>
      <c r="W217" s="23"/>
      <c r="X217" s="10"/>
      <c r="Y217" s="10"/>
      <c r="Z217" s="10"/>
      <c r="AA217" s="10"/>
      <c r="AB217" s="10"/>
      <c r="AC217" s="10"/>
    </row>
    <row r="218" s="2" customFormat="1" spans="1:29">
      <c r="A218" s="10"/>
      <c r="B218" s="10"/>
      <c r="C218" s="28"/>
      <c r="D218" s="29"/>
      <c r="E218" s="59"/>
      <c r="F218" s="37"/>
      <c r="G218" s="29"/>
      <c r="H218" s="31"/>
      <c r="I218" s="34"/>
      <c r="J218" s="34"/>
      <c r="K218" s="34"/>
      <c r="L218" s="34"/>
      <c r="M218" s="34"/>
      <c r="N218" s="34"/>
      <c r="O218" s="34"/>
      <c r="P218" s="34"/>
      <c r="Q218" s="34"/>
      <c r="R218" s="34"/>
      <c r="S218" s="35"/>
      <c r="T218" s="10"/>
      <c r="U218" s="10"/>
      <c r="V218" s="10"/>
      <c r="W218" s="23"/>
      <c r="X218" s="10"/>
      <c r="Y218" s="10"/>
      <c r="Z218" s="10"/>
      <c r="AA218" s="10"/>
      <c r="AB218" s="10"/>
      <c r="AC218" s="10"/>
    </row>
    <row r="219" s="2" customFormat="1" spans="1:29">
      <c r="A219" s="10"/>
      <c r="B219" s="10"/>
      <c r="C219" s="28"/>
      <c r="D219" s="29"/>
      <c r="E219" s="59"/>
      <c r="F219" s="37"/>
      <c r="G219" s="29"/>
      <c r="H219" s="31"/>
      <c r="I219" s="34"/>
      <c r="J219" s="34"/>
      <c r="K219" s="34"/>
      <c r="L219" s="34"/>
      <c r="M219" s="34"/>
      <c r="N219" s="34"/>
      <c r="O219" s="34"/>
      <c r="P219" s="34"/>
      <c r="Q219" s="34"/>
      <c r="R219" s="34"/>
      <c r="S219" s="12"/>
      <c r="T219" s="10"/>
      <c r="U219" s="10"/>
      <c r="V219" s="10"/>
      <c r="W219" s="23"/>
      <c r="X219" s="10"/>
      <c r="Y219" s="10"/>
      <c r="Z219" s="10"/>
      <c r="AA219" s="10"/>
      <c r="AB219" s="10"/>
      <c r="AC219" s="10"/>
    </row>
    <row r="220" s="2" customFormat="1" spans="1:29">
      <c r="A220" s="10"/>
      <c r="B220" s="10"/>
      <c r="C220" s="28"/>
      <c r="D220" s="29"/>
      <c r="E220" s="59"/>
      <c r="F220" s="37"/>
      <c r="G220" s="29"/>
      <c r="H220" s="31"/>
      <c r="I220" s="34"/>
      <c r="J220" s="34"/>
      <c r="K220" s="34"/>
      <c r="L220" s="34"/>
      <c r="M220" s="34"/>
      <c r="N220" s="34"/>
      <c r="O220" s="34"/>
      <c r="P220" s="34"/>
      <c r="Q220" s="34"/>
      <c r="R220" s="34"/>
      <c r="S220" s="12"/>
      <c r="T220" s="10"/>
      <c r="U220" s="10"/>
      <c r="V220" s="10"/>
      <c r="W220" s="23"/>
      <c r="X220" s="10"/>
      <c r="Y220" s="10"/>
      <c r="Z220" s="10"/>
      <c r="AA220" s="10"/>
      <c r="AB220" s="10"/>
      <c r="AC220" s="10"/>
    </row>
    <row r="221" s="2" customFormat="1" spans="1:29">
      <c r="A221" s="10"/>
      <c r="B221" s="10"/>
      <c r="C221" s="28"/>
      <c r="D221" s="29"/>
      <c r="E221" s="59"/>
      <c r="F221" s="37"/>
      <c r="G221" s="28"/>
      <c r="H221" s="32"/>
      <c r="I221" s="34"/>
      <c r="J221" s="34"/>
      <c r="K221" s="34"/>
      <c r="L221" s="34"/>
      <c r="M221" s="34"/>
      <c r="N221" s="34"/>
      <c r="O221" s="34"/>
      <c r="P221" s="34"/>
      <c r="Q221" s="34"/>
      <c r="R221" s="34"/>
      <c r="S221" s="12"/>
      <c r="T221" s="10"/>
      <c r="U221" s="10"/>
      <c r="V221" s="10"/>
      <c r="W221" s="23"/>
      <c r="X221" s="10"/>
      <c r="Y221" s="10"/>
      <c r="Z221" s="10"/>
      <c r="AA221" s="10"/>
      <c r="AB221" s="10"/>
      <c r="AC221" s="10"/>
    </row>
    <row r="222" s="2" customFormat="1" spans="1:29">
      <c r="A222" s="10"/>
      <c r="B222" s="10"/>
      <c r="C222" s="28"/>
      <c r="D222" s="29"/>
      <c r="E222" s="59"/>
      <c r="F222" s="37"/>
      <c r="G222" s="28"/>
      <c r="H222" s="32"/>
      <c r="I222" s="34"/>
      <c r="J222" s="34"/>
      <c r="K222" s="34"/>
      <c r="L222" s="34"/>
      <c r="M222" s="34"/>
      <c r="N222" s="34"/>
      <c r="O222" s="34"/>
      <c r="P222" s="34"/>
      <c r="Q222" s="34"/>
      <c r="R222" s="34"/>
      <c r="S222" s="12"/>
      <c r="T222" s="10"/>
      <c r="U222" s="10"/>
      <c r="V222" s="10"/>
      <c r="W222" s="23"/>
      <c r="X222" s="10"/>
      <c r="Y222" s="10"/>
      <c r="Z222" s="10"/>
      <c r="AA222" s="10"/>
      <c r="AB222" s="10"/>
      <c r="AC222" s="10"/>
    </row>
    <row r="223" s="2" customFormat="1" spans="1:29">
      <c r="A223" s="10"/>
      <c r="B223" s="10"/>
      <c r="C223" s="28"/>
      <c r="D223" s="29"/>
      <c r="E223" s="59"/>
      <c r="F223" s="37"/>
      <c r="G223" s="28"/>
      <c r="H223" s="32"/>
      <c r="I223" s="34"/>
      <c r="J223" s="34"/>
      <c r="K223" s="34"/>
      <c r="L223" s="34"/>
      <c r="M223" s="34"/>
      <c r="N223" s="34"/>
      <c r="O223" s="34"/>
      <c r="P223" s="34"/>
      <c r="Q223" s="34"/>
      <c r="R223" s="34"/>
      <c r="S223" s="12"/>
      <c r="T223" s="10"/>
      <c r="U223" s="10"/>
      <c r="V223" s="10"/>
      <c r="W223" s="23"/>
      <c r="X223" s="10"/>
      <c r="Y223" s="10"/>
      <c r="Z223" s="10"/>
      <c r="AA223" s="10"/>
      <c r="AB223" s="10"/>
      <c r="AC223" s="10"/>
    </row>
    <row r="224" s="2" customFormat="1" spans="1:29">
      <c r="A224" s="10"/>
      <c r="B224" s="10"/>
      <c r="C224" s="28"/>
      <c r="D224" s="29"/>
      <c r="E224" s="59"/>
      <c r="F224" s="37"/>
      <c r="G224" s="28"/>
      <c r="H224" s="32"/>
      <c r="I224" s="34"/>
      <c r="J224" s="34"/>
      <c r="K224" s="34"/>
      <c r="L224" s="34"/>
      <c r="M224" s="34"/>
      <c r="N224" s="34"/>
      <c r="O224" s="34"/>
      <c r="P224" s="34"/>
      <c r="Q224" s="34"/>
      <c r="R224" s="34"/>
      <c r="S224" s="12"/>
      <c r="T224" s="10"/>
      <c r="U224" s="10"/>
      <c r="V224" s="10"/>
      <c r="W224" s="23"/>
      <c r="X224" s="10"/>
      <c r="Y224" s="10"/>
      <c r="Z224" s="10"/>
      <c r="AA224" s="10"/>
      <c r="AB224" s="10"/>
      <c r="AC224" s="10"/>
    </row>
    <row r="225" s="2" customFormat="1" spans="1:29">
      <c r="A225" s="10"/>
      <c r="B225" s="10"/>
      <c r="C225" s="28"/>
      <c r="D225" s="29"/>
      <c r="E225" s="59"/>
      <c r="F225" s="37"/>
      <c r="G225" s="28"/>
      <c r="H225" s="32"/>
      <c r="I225" s="34"/>
      <c r="J225" s="34"/>
      <c r="K225" s="34"/>
      <c r="L225" s="34"/>
      <c r="M225" s="34"/>
      <c r="N225" s="34"/>
      <c r="O225" s="34"/>
      <c r="P225" s="34"/>
      <c r="Q225" s="34"/>
      <c r="R225" s="34"/>
      <c r="S225" s="12"/>
      <c r="T225" s="10"/>
      <c r="U225" s="10"/>
      <c r="V225" s="10"/>
      <c r="W225" s="23"/>
      <c r="X225" s="10"/>
      <c r="Y225" s="10"/>
      <c r="Z225" s="10"/>
      <c r="AA225" s="10"/>
      <c r="AB225" s="10"/>
      <c r="AC225" s="10"/>
    </row>
    <row r="226" s="2" customFormat="1" spans="1:29">
      <c r="A226" s="10"/>
      <c r="B226" s="10"/>
      <c r="C226" s="28"/>
      <c r="D226" s="29"/>
      <c r="E226" s="59"/>
      <c r="F226" s="37"/>
      <c r="G226" s="28"/>
      <c r="H226" s="32"/>
      <c r="I226" s="34"/>
      <c r="J226" s="34"/>
      <c r="K226" s="34"/>
      <c r="L226" s="34"/>
      <c r="M226" s="34"/>
      <c r="N226" s="34"/>
      <c r="O226" s="34"/>
      <c r="P226" s="34"/>
      <c r="Q226" s="34"/>
      <c r="R226" s="34"/>
      <c r="S226" s="12"/>
      <c r="T226" s="10"/>
      <c r="U226" s="10"/>
      <c r="V226" s="10"/>
      <c r="W226" s="23"/>
      <c r="X226" s="10"/>
      <c r="Y226" s="10"/>
      <c r="Z226" s="10"/>
      <c r="AA226" s="10"/>
      <c r="AB226" s="10"/>
      <c r="AC226" s="10"/>
    </row>
    <row r="227" s="2" customFormat="1" spans="1:29">
      <c r="A227" s="10"/>
      <c r="B227" s="10"/>
      <c r="C227" s="28"/>
      <c r="D227" s="29"/>
      <c r="E227" s="59"/>
      <c r="F227" s="37"/>
      <c r="G227" s="29"/>
      <c r="H227" s="32"/>
      <c r="I227" s="34"/>
      <c r="J227" s="34"/>
      <c r="K227" s="34"/>
      <c r="L227" s="34"/>
      <c r="M227" s="34"/>
      <c r="N227" s="34"/>
      <c r="O227" s="34"/>
      <c r="P227" s="34"/>
      <c r="Q227" s="34"/>
      <c r="R227" s="34"/>
      <c r="S227" s="12"/>
      <c r="T227" s="10"/>
      <c r="U227" s="10"/>
      <c r="V227" s="10"/>
      <c r="W227" s="23"/>
      <c r="X227" s="10"/>
      <c r="Y227" s="10"/>
      <c r="Z227" s="10"/>
      <c r="AA227" s="10"/>
      <c r="AB227" s="10"/>
      <c r="AC227" s="10"/>
    </row>
    <row r="228" s="2" customFormat="1" spans="1:29">
      <c r="A228" s="10"/>
      <c r="B228" s="10"/>
      <c r="C228" s="28"/>
      <c r="D228" s="29"/>
      <c r="E228" s="59"/>
      <c r="F228" s="37"/>
      <c r="G228" s="28"/>
      <c r="H228" s="32"/>
      <c r="I228" s="34"/>
      <c r="J228" s="34"/>
      <c r="K228" s="34"/>
      <c r="L228" s="34"/>
      <c r="M228" s="34"/>
      <c r="N228" s="34"/>
      <c r="O228" s="34"/>
      <c r="P228" s="34"/>
      <c r="Q228" s="34"/>
      <c r="R228" s="34"/>
      <c r="S228" s="12"/>
      <c r="T228" s="10"/>
      <c r="U228" s="10"/>
      <c r="V228" s="10"/>
      <c r="W228" s="23"/>
      <c r="X228" s="10"/>
      <c r="Y228" s="10"/>
      <c r="Z228" s="10"/>
      <c r="AA228" s="10"/>
      <c r="AB228" s="10"/>
      <c r="AC228" s="10"/>
    </row>
    <row r="229" s="2" customFormat="1" spans="1:29">
      <c r="A229" s="10"/>
      <c r="B229" s="10"/>
      <c r="C229" s="28"/>
      <c r="D229" s="29"/>
      <c r="E229" s="59"/>
      <c r="F229" s="37"/>
      <c r="G229" s="28"/>
      <c r="H229" s="32"/>
      <c r="I229" s="34"/>
      <c r="J229" s="34"/>
      <c r="K229" s="34"/>
      <c r="L229" s="34"/>
      <c r="M229" s="34"/>
      <c r="N229" s="34"/>
      <c r="O229" s="34"/>
      <c r="P229" s="34"/>
      <c r="Q229" s="34"/>
      <c r="R229" s="34"/>
      <c r="S229" s="12"/>
      <c r="T229" s="10"/>
      <c r="U229" s="10"/>
      <c r="V229" s="10"/>
      <c r="W229" s="23"/>
      <c r="X229" s="10"/>
      <c r="Y229" s="10"/>
      <c r="Z229" s="10"/>
      <c r="AA229" s="10"/>
      <c r="AB229" s="10"/>
      <c r="AC229" s="10"/>
    </row>
    <row r="230" s="2" customFormat="1" spans="1:29">
      <c r="A230" s="10"/>
      <c r="B230" s="10"/>
      <c r="C230" s="28"/>
      <c r="D230" s="29"/>
      <c r="E230" s="59"/>
      <c r="F230" s="37"/>
      <c r="G230" s="28"/>
      <c r="H230" s="32"/>
      <c r="I230" s="34"/>
      <c r="J230" s="34"/>
      <c r="K230" s="34"/>
      <c r="L230" s="34"/>
      <c r="M230" s="34"/>
      <c r="N230" s="34"/>
      <c r="O230" s="34"/>
      <c r="P230" s="34"/>
      <c r="Q230" s="34"/>
      <c r="R230" s="34"/>
      <c r="S230" s="12"/>
      <c r="T230" s="10"/>
      <c r="U230" s="10"/>
      <c r="V230" s="10"/>
      <c r="W230" s="23"/>
      <c r="X230" s="10"/>
      <c r="Y230" s="10"/>
      <c r="Z230" s="10"/>
      <c r="AA230" s="10"/>
      <c r="AB230" s="10"/>
      <c r="AC230" s="10"/>
    </row>
    <row r="231" s="2" customFormat="1" spans="1:29">
      <c r="A231" s="10"/>
      <c r="B231" s="10"/>
      <c r="C231" s="28"/>
      <c r="D231" s="29"/>
      <c r="E231" s="59"/>
      <c r="F231" s="37"/>
      <c r="G231" s="28"/>
      <c r="H231" s="32"/>
      <c r="I231" s="34"/>
      <c r="J231" s="34"/>
      <c r="K231" s="34"/>
      <c r="L231" s="34"/>
      <c r="M231" s="34"/>
      <c r="N231" s="34"/>
      <c r="O231" s="34"/>
      <c r="P231" s="34"/>
      <c r="Q231" s="34"/>
      <c r="R231" s="34"/>
      <c r="S231" s="12"/>
      <c r="T231" s="10"/>
      <c r="U231" s="10"/>
      <c r="V231" s="10"/>
      <c r="W231" s="23"/>
      <c r="X231" s="10"/>
      <c r="Y231" s="10"/>
      <c r="Z231" s="10"/>
      <c r="AA231" s="10"/>
      <c r="AB231" s="10"/>
      <c r="AC231" s="10"/>
    </row>
    <row r="232" s="2" customFormat="1" spans="1:29">
      <c r="A232" s="10"/>
      <c r="B232" s="10"/>
      <c r="C232" s="28"/>
      <c r="D232" s="29"/>
      <c r="E232" s="59"/>
      <c r="F232" s="37"/>
      <c r="G232" s="28"/>
      <c r="H232" s="32"/>
      <c r="I232" s="34"/>
      <c r="J232" s="34"/>
      <c r="K232" s="34"/>
      <c r="L232" s="34"/>
      <c r="M232" s="34"/>
      <c r="N232" s="34"/>
      <c r="O232" s="34"/>
      <c r="P232" s="34"/>
      <c r="Q232" s="34"/>
      <c r="R232" s="34"/>
      <c r="S232" s="12"/>
      <c r="T232" s="10"/>
      <c r="U232" s="10"/>
      <c r="V232" s="10"/>
      <c r="W232" s="23"/>
      <c r="X232" s="10"/>
      <c r="Y232" s="10"/>
      <c r="Z232" s="10"/>
      <c r="AA232" s="10"/>
      <c r="AB232" s="10"/>
      <c r="AC232" s="10"/>
    </row>
    <row r="233" s="2" customFormat="1" spans="1:29">
      <c r="A233" s="10"/>
      <c r="B233" s="10"/>
      <c r="C233" s="28"/>
      <c r="D233" s="29"/>
      <c r="E233" s="59"/>
      <c r="F233" s="37"/>
      <c r="G233" s="28"/>
      <c r="H233" s="32"/>
      <c r="I233" s="34"/>
      <c r="J233" s="34"/>
      <c r="K233" s="34"/>
      <c r="L233" s="34"/>
      <c r="M233" s="34"/>
      <c r="N233" s="34"/>
      <c r="O233" s="34"/>
      <c r="P233" s="34"/>
      <c r="Q233" s="34"/>
      <c r="R233" s="34"/>
      <c r="S233" s="12"/>
      <c r="T233" s="10"/>
      <c r="U233" s="10"/>
      <c r="V233" s="10"/>
      <c r="W233" s="23"/>
      <c r="X233" s="10"/>
      <c r="Y233" s="10"/>
      <c r="Z233" s="10"/>
      <c r="AA233" s="10"/>
      <c r="AB233" s="10"/>
      <c r="AC233" s="10"/>
    </row>
    <row r="234" s="2" customFormat="1" spans="1:29">
      <c r="A234" s="10"/>
      <c r="B234" s="10"/>
      <c r="C234" s="28"/>
      <c r="D234" s="29"/>
      <c r="E234" s="59"/>
      <c r="F234" s="37"/>
      <c r="G234" s="28"/>
      <c r="H234" s="32"/>
      <c r="I234" s="34"/>
      <c r="J234" s="34"/>
      <c r="K234" s="34"/>
      <c r="L234" s="34"/>
      <c r="M234" s="34"/>
      <c r="N234" s="34"/>
      <c r="O234" s="34"/>
      <c r="P234" s="34"/>
      <c r="Q234" s="34"/>
      <c r="R234" s="34"/>
      <c r="S234" s="12"/>
      <c r="T234" s="10"/>
      <c r="U234" s="10"/>
      <c r="V234" s="10"/>
      <c r="W234" s="23"/>
      <c r="X234" s="10"/>
      <c r="Y234" s="10"/>
      <c r="Z234" s="10"/>
      <c r="AA234" s="10"/>
      <c r="AB234" s="10"/>
      <c r="AC234" s="10"/>
    </row>
    <row r="235" s="2" customFormat="1" spans="1:29">
      <c r="A235" s="10"/>
      <c r="B235" s="10"/>
      <c r="C235" s="28"/>
      <c r="D235" s="29"/>
      <c r="E235" s="59"/>
      <c r="F235" s="37"/>
      <c r="G235" s="28"/>
      <c r="H235" s="32"/>
      <c r="I235" s="34"/>
      <c r="J235" s="34"/>
      <c r="K235" s="34"/>
      <c r="L235" s="34"/>
      <c r="M235" s="34"/>
      <c r="N235" s="34"/>
      <c r="O235" s="34"/>
      <c r="P235" s="34"/>
      <c r="Q235" s="34"/>
      <c r="R235" s="34"/>
      <c r="S235" s="12"/>
      <c r="T235" s="10"/>
      <c r="U235" s="10"/>
      <c r="V235" s="10"/>
      <c r="W235" s="23"/>
      <c r="X235" s="10"/>
      <c r="Y235" s="10"/>
      <c r="Z235" s="10"/>
      <c r="AA235" s="10"/>
      <c r="AB235" s="10"/>
      <c r="AC235" s="10"/>
    </row>
    <row r="236" s="2" customFormat="1" spans="1:29">
      <c r="A236" s="10"/>
      <c r="B236" s="10"/>
      <c r="C236" s="28"/>
      <c r="D236" s="29"/>
      <c r="E236" s="59"/>
      <c r="F236" s="37"/>
      <c r="G236" s="28"/>
      <c r="H236" s="32"/>
      <c r="I236" s="34"/>
      <c r="J236" s="34"/>
      <c r="K236" s="34"/>
      <c r="L236" s="34"/>
      <c r="M236" s="34"/>
      <c r="N236" s="34"/>
      <c r="O236" s="34"/>
      <c r="P236" s="34"/>
      <c r="Q236" s="34"/>
      <c r="R236" s="34"/>
      <c r="S236" s="12"/>
      <c r="T236" s="10"/>
      <c r="U236" s="10"/>
      <c r="V236" s="10"/>
      <c r="W236" s="23"/>
      <c r="X236" s="10"/>
      <c r="Y236" s="10"/>
      <c r="Z236" s="10"/>
      <c r="AA236" s="10"/>
      <c r="AB236" s="10"/>
      <c r="AC236" s="10"/>
    </row>
    <row r="237" s="2" customFormat="1" spans="1:29">
      <c r="A237" s="10"/>
      <c r="B237" s="10"/>
      <c r="C237" s="28"/>
      <c r="D237" s="29"/>
      <c r="E237" s="59"/>
      <c r="F237" s="37"/>
      <c r="G237" s="28"/>
      <c r="H237" s="32"/>
      <c r="I237" s="34"/>
      <c r="J237" s="34"/>
      <c r="K237" s="34"/>
      <c r="L237" s="34"/>
      <c r="M237" s="34"/>
      <c r="N237" s="34"/>
      <c r="O237" s="34"/>
      <c r="P237" s="34"/>
      <c r="Q237" s="34"/>
      <c r="R237" s="34"/>
      <c r="S237" s="12"/>
      <c r="T237" s="10"/>
      <c r="U237" s="10"/>
      <c r="V237" s="10"/>
      <c r="W237" s="23"/>
      <c r="X237" s="10"/>
      <c r="Y237" s="10"/>
      <c r="Z237" s="10"/>
      <c r="AA237" s="10"/>
      <c r="AB237" s="10"/>
      <c r="AC237" s="10"/>
    </row>
    <row r="238" s="2" customFormat="1" spans="1:29">
      <c r="A238" s="10"/>
      <c r="B238" s="10"/>
      <c r="C238" s="28"/>
      <c r="D238" s="29"/>
      <c r="E238" s="59"/>
      <c r="F238" s="37"/>
      <c r="G238" s="28"/>
      <c r="H238" s="32"/>
      <c r="I238" s="34"/>
      <c r="J238" s="34"/>
      <c r="K238" s="34"/>
      <c r="L238" s="34"/>
      <c r="M238" s="34"/>
      <c r="N238" s="34"/>
      <c r="O238" s="34"/>
      <c r="P238" s="34"/>
      <c r="Q238" s="34"/>
      <c r="R238" s="34"/>
      <c r="S238" s="12"/>
      <c r="T238" s="10"/>
      <c r="U238" s="10"/>
      <c r="V238" s="10"/>
      <c r="W238" s="23"/>
      <c r="X238" s="10"/>
      <c r="Y238" s="10"/>
      <c r="Z238" s="10"/>
      <c r="AA238" s="10"/>
      <c r="AB238" s="10"/>
      <c r="AC238" s="10"/>
    </row>
    <row r="239" s="2" customFormat="1" spans="1:29">
      <c r="A239" s="10"/>
      <c r="B239" s="10"/>
      <c r="C239" s="28"/>
      <c r="D239" s="29"/>
      <c r="E239" s="59"/>
      <c r="F239" s="37"/>
      <c r="G239" s="28"/>
      <c r="H239" s="32"/>
      <c r="I239" s="34"/>
      <c r="J239" s="34"/>
      <c r="K239" s="34"/>
      <c r="L239" s="34"/>
      <c r="M239" s="34"/>
      <c r="N239" s="34"/>
      <c r="O239" s="34"/>
      <c r="P239" s="34"/>
      <c r="Q239" s="34"/>
      <c r="R239" s="34"/>
      <c r="S239" s="12"/>
      <c r="T239" s="10"/>
      <c r="U239" s="10"/>
      <c r="V239" s="10"/>
      <c r="W239" s="23"/>
      <c r="X239" s="10"/>
      <c r="Y239" s="10"/>
      <c r="Z239" s="10"/>
      <c r="AA239" s="10"/>
      <c r="AB239" s="10"/>
      <c r="AC239" s="10"/>
    </row>
    <row r="240" s="2" customFormat="1" spans="1:29">
      <c r="A240" s="10"/>
      <c r="B240" s="10"/>
      <c r="C240" s="28"/>
      <c r="D240" s="29"/>
      <c r="E240" s="59"/>
      <c r="F240" s="37"/>
      <c r="G240" s="28"/>
      <c r="H240" s="32"/>
      <c r="I240" s="34"/>
      <c r="J240" s="34"/>
      <c r="K240" s="34"/>
      <c r="L240" s="34"/>
      <c r="M240" s="34"/>
      <c r="N240" s="34"/>
      <c r="O240" s="34"/>
      <c r="P240" s="34"/>
      <c r="Q240" s="34"/>
      <c r="R240" s="34"/>
      <c r="S240" s="12"/>
      <c r="T240" s="10"/>
      <c r="U240" s="10"/>
      <c r="V240" s="10"/>
      <c r="W240" s="23"/>
      <c r="X240" s="10"/>
      <c r="Y240" s="10"/>
      <c r="Z240" s="10"/>
      <c r="AA240" s="10"/>
      <c r="AB240" s="10"/>
      <c r="AC240" s="10"/>
    </row>
    <row r="241" s="2" customFormat="1" spans="1:29">
      <c r="A241" s="10"/>
      <c r="B241" s="10"/>
      <c r="C241" s="28"/>
      <c r="D241" s="29"/>
      <c r="E241" s="59"/>
      <c r="F241" s="37"/>
      <c r="G241" s="28"/>
      <c r="H241" s="32"/>
      <c r="I241" s="34"/>
      <c r="J241" s="34"/>
      <c r="K241" s="34"/>
      <c r="L241" s="34"/>
      <c r="M241" s="34"/>
      <c r="N241" s="34"/>
      <c r="O241" s="34"/>
      <c r="P241" s="34"/>
      <c r="Q241" s="34"/>
      <c r="R241" s="34"/>
      <c r="S241" s="12"/>
      <c r="T241" s="10"/>
      <c r="U241" s="10"/>
      <c r="V241" s="10"/>
      <c r="W241" s="23"/>
      <c r="X241" s="10"/>
      <c r="Y241" s="10"/>
      <c r="Z241" s="10"/>
      <c r="AA241" s="10"/>
      <c r="AB241" s="10"/>
      <c r="AC241" s="10"/>
    </row>
    <row r="242" s="2" customFormat="1" spans="1:29">
      <c r="A242" s="10"/>
      <c r="B242" s="10"/>
      <c r="C242" s="28"/>
      <c r="D242" s="29"/>
      <c r="E242" s="59"/>
      <c r="F242" s="37"/>
      <c r="G242" s="28"/>
      <c r="H242" s="32"/>
      <c r="I242" s="34"/>
      <c r="J242" s="34"/>
      <c r="K242" s="34"/>
      <c r="L242" s="34"/>
      <c r="M242" s="34"/>
      <c r="N242" s="34"/>
      <c r="O242" s="34"/>
      <c r="P242" s="34"/>
      <c r="Q242" s="34"/>
      <c r="R242" s="34"/>
      <c r="S242" s="12"/>
      <c r="T242" s="10"/>
      <c r="U242" s="10"/>
      <c r="V242" s="10"/>
      <c r="W242" s="23"/>
      <c r="X242" s="10"/>
      <c r="Y242" s="10"/>
      <c r="Z242" s="10"/>
      <c r="AA242" s="10"/>
      <c r="AB242" s="10"/>
      <c r="AC242" s="10"/>
    </row>
    <row r="243" s="2" customFormat="1" spans="1:29">
      <c r="A243" s="10"/>
      <c r="B243" s="10"/>
      <c r="C243" s="28"/>
      <c r="D243" s="29"/>
      <c r="E243" s="59"/>
      <c r="F243" s="37"/>
      <c r="G243" s="28"/>
      <c r="H243" s="32"/>
      <c r="I243" s="34"/>
      <c r="J243" s="34"/>
      <c r="K243" s="34"/>
      <c r="L243" s="34"/>
      <c r="M243" s="34"/>
      <c r="N243" s="34"/>
      <c r="O243" s="34"/>
      <c r="P243" s="34"/>
      <c r="Q243" s="34"/>
      <c r="R243" s="34"/>
      <c r="S243" s="12"/>
      <c r="T243" s="10"/>
      <c r="U243" s="10"/>
      <c r="V243" s="10"/>
      <c r="W243" s="23"/>
      <c r="X243" s="10"/>
      <c r="Y243" s="10"/>
      <c r="Z243" s="10"/>
      <c r="AA243" s="10"/>
      <c r="AB243" s="10"/>
      <c r="AC243" s="10"/>
    </row>
    <row r="244" s="2" customFormat="1" spans="1:29">
      <c r="A244" s="10"/>
      <c r="B244" s="10"/>
      <c r="C244" s="28"/>
      <c r="D244" s="29"/>
      <c r="E244" s="59"/>
      <c r="F244" s="37"/>
      <c r="G244" s="28"/>
      <c r="H244" s="32"/>
      <c r="I244" s="34"/>
      <c r="J244" s="34"/>
      <c r="K244" s="34"/>
      <c r="L244" s="34"/>
      <c r="M244" s="34"/>
      <c r="N244" s="34"/>
      <c r="O244" s="34"/>
      <c r="P244" s="34"/>
      <c r="Q244" s="34"/>
      <c r="R244" s="34"/>
      <c r="S244" s="12"/>
      <c r="T244" s="10"/>
      <c r="U244" s="10"/>
      <c r="V244" s="10"/>
      <c r="W244" s="23"/>
      <c r="X244" s="10"/>
      <c r="Y244" s="10"/>
      <c r="Z244" s="10"/>
      <c r="AA244" s="10"/>
      <c r="AB244" s="10"/>
      <c r="AC244" s="10"/>
    </row>
    <row r="245" s="2" customFormat="1" spans="1:29">
      <c r="A245" s="10"/>
      <c r="B245" s="10"/>
      <c r="C245" s="28"/>
      <c r="D245" s="29"/>
      <c r="E245" s="59"/>
      <c r="F245" s="37"/>
      <c r="G245" s="28"/>
      <c r="H245" s="32"/>
      <c r="I245" s="34"/>
      <c r="J245" s="34"/>
      <c r="K245" s="34"/>
      <c r="L245" s="34"/>
      <c r="M245" s="34"/>
      <c r="N245" s="34"/>
      <c r="O245" s="34"/>
      <c r="P245" s="34"/>
      <c r="Q245" s="34"/>
      <c r="R245" s="34"/>
      <c r="S245" s="12"/>
      <c r="T245" s="10"/>
      <c r="U245" s="10"/>
      <c r="V245" s="10"/>
      <c r="W245" s="23"/>
      <c r="X245" s="10"/>
      <c r="Y245" s="10"/>
      <c r="Z245" s="10"/>
      <c r="AA245" s="10"/>
      <c r="AB245" s="10"/>
      <c r="AC245" s="10"/>
    </row>
    <row r="246" s="2" customFormat="1" spans="1:29">
      <c r="A246" s="10"/>
      <c r="B246" s="10"/>
      <c r="C246" s="28"/>
      <c r="D246" s="29"/>
      <c r="E246" s="59"/>
      <c r="F246" s="37"/>
      <c r="G246" s="28"/>
      <c r="H246" s="32"/>
      <c r="I246" s="34"/>
      <c r="J246" s="34"/>
      <c r="K246" s="34"/>
      <c r="L246" s="34"/>
      <c r="M246" s="34"/>
      <c r="N246" s="34"/>
      <c r="O246" s="34"/>
      <c r="P246" s="34"/>
      <c r="Q246" s="34"/>
      <c r="R246" s="34"/>
      <c r="S246" s="12"/>
      <c r="T246" s="10"/>
      <c r="U246" s="10"/>
      <c r="V246" s="10"/>
      <c r="W246" s="23"/>
      <c r="X246" s="10"/>
      <c r="Y246" s="10"/>
      <c r="Z246" s="10"/>
      <c r="AA246" s="10"/>
      <c r="AB246" s="10"/>
      <c r="AC246" s="10"/>
    </row>
    <row r="247" s="2" customFormat="1" spans="1:29">
      <c r="A247" s="10"/>
      <c r="B247" s="10"/>
      <c r="C247" s="28"/>
      <c r="D247" s="29"/>
      <c r="E247" s="59"/>
      <c r="F247" s="37"/>
      <c r="G247" s="28"/>
      <c r="H247" s="32"/>
      <c r="I247" s="34"/>
      <c r="J247" s="34"/>
      <c r="K247" s="34"/>
      <c r="L247" s="34"/>
      <c r="M247" s="34"/>
      <c r="N247" s="34"/>
      <c r="O247" s="34"/>
      <c r="P247" s="34"/>
      <c r="Q247" s="34"/>
      <c r="R247" s="34"/>
      <c r="S247" s="12"/>
      <c r="T247" s="10"/>
      <c r="U247" s="10"/>
      <c r="V247" s="10"/>
      <c r="W247" s="23"/>
      <c r="X247" s="10"/>
      <c r="Y247" s="10"/>
      <c r="Z247" s="10"/>
      <c r="AA247" s="10"/>
      <c r="AB247" s="10"/>
      <c r="AC247" s="10"/>
    </row>
    <row r="248" s="2" customFormat="1" spans="1:29">
      <c r="A248" s="10"/>
      <c r="B248" s="10"/>
      <c r="C248" s="28"/>
      <c r="D248" s="29"/>
      <c r="E248" s="59"/>
      <c r="F248" s="37"/>
      <c r="G248" s="28"/>
      <c r="H248" s="32"/>
      <c r="I248" s="34"/>
      <c r="J248" s="34"/>
      <c r="K248" s="34"/>
      <c r="L248" s="34"/>
      <c r="M248" s="34"/>
      <c r="N248" s="34"/>
      <c r="O248" s="34"/>
      <c r="P248" s="34"/>
      <c r="Q248" s="34"/>
      <c r="R248" s="34"/>
      <c r="S248" s="12"/>
      <c r="T248" s="10"/>
      <c r="U248" s="10"/>
      <c r="V248" s="10"/>
      <c r="W248" s="23"/>
      <c r="X248" s="10"/>
      <c r="Y248" s="10"/>
      <c r="Z248" s="10"/>
      <c r="AA248" s="10"/>
      <c r="AB248" s="10"/>
      <c r="AC248" s="10"/>
    </row>
    <row r="249" s="2" customFormat="1" spans="1:29">
      <c r="A249" s="10"/>
      <c r="B249" s="10"/>
      <c r="C249" s="28"/>
      <c r="D249" s="29"/>
      <c r="E249" s="59"/>
      <c r="F249" s="37"/>
      <c r="G249" s="28"/>
      <c r="H249" s="32"/>
      <c r="I249" s="34"/>
      <c r="J249" s="34"/>
      <c r="K249" s="34"/>
      <c r="L249" s="34"/>
      <c r="M249" s="34"/>
      <c r="N249" s="34"/>
      <c r="O249" s="34"/>
      <c r="P249" s="34"/>
      <c r="Q249" s="34"/>
      <c r="R249" s="34"/>
      <c r="S249" s="12"/>
      <c r="T249" s="10"/>
      <c r="U249" s="10"/>
      <c r="V249" s="10"/>
      <c r="W249" s="23"/>
      <c r="X249" s="10"/>
      <c r="Y249" s="10"/>
      <c r="Z249" s="10"/>
      <c r="AA249" s="10"/>
      <c r="AB249" s="10"/>
      <c r="AC249" s="10"/>
    </row>
    <row r="250" s="2" customFormat="1" spans="1:29">
      <c r="A250" s="10"/>
      <c r="B250" s="10"/>
      <c r="C250" s="28"/>
      <c r="D250" s="29"/>
      <c r="E250" s="59"/>
      <c r="F250" s="37"/>
      <c r="G250" s="28"/>
      <c r="H250" s="32"/>
      <c r="I250" s="34"/>
      <c r="J250" s="34"/>
      <c r="K250" s="34"/>
      <c r="L250" s="34"/>
      <c r="M250" s="34"/>
      <c r="N250" s="34"/>
      <c r="O250" s="34"/>
      <c r="P250" s="34"/>
      <c r="Q250" s="34"/>
      <c r="R250" s="34"/>
      <c r="S250" s="12"/>
      <c r="T250" s="10"/>
      <c r="U250" s="10"/>
      <c r="V250" s="10"/>
      <c r="W250" s="23"/>
      <c r="X250" s="10"/>
      <c r="Y250" s="10"/>
      <c r="Z250" s="10"/>
      <c r="AA250" s="10"/>
      <c r="AB250" s="10"/>
      <c r="AC250" s="10"/>
    </row>
    <row r="251" s="2" customFormat="1" spans="1:29">
      <c r="A251" s="10"/>
      <c r="B251" s="10"/>
      <c r="C251" s="28"/>
      <c r="D251" s="29"/>
      <c r="E251" s="59"/>
      <c r="F251" s="37"/>
      <c r="G251" s="28"/>
      <c r="H251" s="32"/>
      <c r="I251" s="34"/>
      <c r="J251" s="34"/>
      <c r="K251" s="34"/>
      <c r="L251" s="34"/>
      <c r="M251" s="34"/>
      <c r="N251" s="34"/>
      <c r="O251" s="34"/>
      <c r="P251" s="34"/>
      <c r="Q251" s="34"/>
      <c r="R251" s="34"/>
      <c r="S251" s="12"/>
      <c r="T251" s="10"/>
      <c r="U251" s="10"/>
      <c r="V251" s="10"/>
      <c r="W251" s="23"/>
      <c r="X251" s="10"/>
      <c r="Y251" s="10"/>
      <c r="Z251" s="10"/>
      <c r="AA251" s="10"/>
      <c r="AB251" s="10"/>
      <c r="AC251" s="10"/>
    </row>
    <row r="252" s="2" customFormat="1" spans="1:29">
      <c r="A252" s="10"/>
      <c r="B252" s="10"/>
      <c r="C252" s="28"/>
      <c r="D252" s="29"/>
      <c r="E252" s="59"/>
      <c r="F252" s="37"/>
      <c r="G252" s="28"/>
      <c r="H252" s="32"/>
      <c r="I252" s="34"/>
      <c r="J252" s="34"/>
      <c r="K252" s="34"/>
      <c r="L252" s="34"/>
      <c r="M252" s="34"/>
      <c r="N252" s="34"/>
      <c r="O252" s="34"/>
      <c r="P252" s="34"/>
      <c r="Q252" s="34"/>
      <c r="R252" s="34"/>
      <c r="S252" s="12"/>
      <c r="T252" s="10"/>
      <c r="U252" s="10"/>
      <c r="V252" s="10"/>
      <c r="W252" s="23"/>
      <c r="X252" s="10"/>
      <c r="Y252" s="10"/>
      <c r="Z252" s="10"/>
      <c r="AA252" s="10"/>
      <c r="AB252" s="10"/>
      <c r="AC252" s="10"/>
    </row>
    <row r="253" s="2" customFormat="1" spans="1:29">
      <c r="A253" s="10"/>
      <c r="B253" s="23"/>
      <c r="C253" s="28"/>
      <c r="D253" s="29"/>
      <c r="E253" s="29"/>
      <c r="F253" s="35"/>
      <c r="G253" s="23"/>
      <c r="H253" s="32"/>
      <c r="I253" s="34"/>
      <c r="J253" s="34"/>
      <c r="K253" s="34"/>
      <c r="L253" s="34"/>
      <c r="M253" s="34"/>
      <c r="N253" s="34"/>
      <c r="O253" s="34"/>
      <c r="P253" s="34"/>
      <c r="Q253" s="34"/>
      <c r="R253" s="34"/>
      <c r="S253" s="12"/>
      <c r="T253" s="10"/>
      <c r="U253" s="10"/>
      <c r="V253" s="10"/>
      <c r="W253" s="23"/>
      <c r="X253" s="10"/>
      <c r="Y253" s="10"/>
      <c r="Z253" s="10"/>
      <c r="AA253" s="10"/>
      <c r="AB253" s="10"/>
      <c r="AC253" s="10"/>
    </row>
    <row r="254" s="2" customFormat="1" spans="1:29">
      <c r="A254" s="10"/>
      <c r="B254" s="23"/>
      <c r="C254" s="28"/>
      <c r="D254" s="29"/>
      <c r="E254" s="29"/>
      <c r="F254" s="35"/>
      <c r="G254" s="23"/>
      <c r="H254" s="32"/>
      <c r="I254" s="34"/>
      <c r="J254" s="34"/>
      <c r="K254" s="34"/>
      <c r="L254" s="34"/>
      <c r="M254" s="34"/>
      <c r="N254" s="34"/>
      <c r="O254" s="34"/>
      <c r="P254" s="34"/>
      <c r="Q254" s="34"/>
      <c r="R254" s="34"/>
      <c r="S254" s="12"/>
      <c r="T254" s="10"/>
      <c r="U254" s="10"/>
      <c r="V254" s="10"/>
      <c r="W254" s="23"/>
      <c r="X254" s="10"/>
      <c r="Y254" s="10"/>
      <c r="Z254" s="10"/>
      <c r="AA254" s="10"/>
      <c r="AB254" s="10"/>
      <c r="AC254" s="10"/>
    </row>
    <row r="255" s="2" customFormat="1" spans="1:29">
      <c r="A255" s="10"/>
      <c r="B255" s="23"/>
      <c r="C255" s="28"/>
      <c r="D255" s="29"/>
      <c r="E255" s="29"/>
      <c r="F255" s="35"/>
      <c r="G255" s="23"/>
      <c r="H255" s="32"/>
      <c r="I255" s="34"/>
      <c r="J255" s="34"/>
      <c r="K255" s="34"/>
      <c r="L255" s="34"/>
      <c r="M255" s="34"/>
      <c r="N255" s="34"/>
      <c r="O255" s="34"/>
      <c r="P255" s="34"/>
      <c r="Q255" s="34"/>
      <c r="R255" s="34"/>
      <c r="S255" s="12"/>
      <c r="T255" s="10"/>
      <c r="U255" s="10"/>
      <c r="V255" s="10"/>
      <c r="W255" s="23"/>
      <c r="X255" s="10"/>
      <c r="Y255" s="10"/>
      <c r="Z255" s="10"/>
      <c r="AA255" s="10"/>
      <c r="AB255" s="10"/>
      <c r="AC255" s="10"/>
    </row>
    <row r="256" s="2" customFormat="1" spans="1:29">
      <c r="A256" s="10"/>
      <c r="B256" s="23"/>
      <c r="C256" s="28"/>
      <c r="D256" s="29"/>
      <c r="E256" s="29"/>
      <c r="F256" s="35"/>
      <c r="G256" s="23"/>
      <c r="H256" s="32"/>
      <c r="I256" s="34"/>
      <c r="J256" s="34"/>
      <c r="K256" s="34"/>
      <c r="L256" s="34"/>
      <c r="M256" s="34"/>
      <c r="N256" s="34"/>
      <c r="O256" s="34"/>
      <c r="P256" s="34"/>
      <c r="Q256" s="34"/>
      <c r="R256" s="34"/>
      <c r="S256" s="12"/>
      <c r="T256" s="10"/>
      <c r="U256" s="10"/>
      <c r="V256" s="10"/>
      <c r="W256" s="23"/>
      <c r="X256" s="10"/>
      <c r="Y256" s="10"/>
      <c r="Z256" s="10"/>
      <c r="AA256" s="10"/>
      <c r="AB256" s="10"/>
      <c r="AC256" s="10"/>
    </row>
    <row r="257" s="2" customFormat="1" spans="1:29">
      <c r="A257" s="10"/>
      <c r="B257" s="23"/>
      <c r="C257" s="28"/>
      <c r="D257" s="29"/>
      <c r="E257" s="29"/>
      <c r="F257" s="35"/>
      <c r="G257" s="23"/>
      <c r="H257" s="32"/>
      <c r="I257" s="34"/>
      <c r="J257" s="34"/>
      <c r="K257" s="34"/>
      <c r="L257" s="34"/>
      <c r="M257" s="34"/>
      <c r="N257" s="34"/>
      <c r="O257" s="34"/>
      <c r="P257" s="34"/>
      <c r="Q257" s="34"/>
      <c r="R257" s="34"/>
      <c r="S257" s="12"/>
      <c r="T257" s="10"/>
      <c r="U257" s="10"/>
      <c r="V257" s="10"/>
      <c r="W257" s="23"/>
      <c r="X257" s="10"/>
      <c r="Y257" s="10"/>
      <c r="Z257" s="10"/>
      <c r="AA257" s="10"/>
      <c r="AB257" s="10"/>
      <c r="AC257" s="10"/>
    </row>
    <row r="258" s="2" customFormat="1" spans="1:29">
      <c r="A258" s="10"/>
      <c r="B258" s="23"/>
      <c r="C258" s="28"/>
      <c r="D258" s="29"/>
      <c r="E258" s="29"/>
      <c r="F258" s="35"/>
      <c r="G258" s="23"/>
      <c r="H258" s="32"/>
      <c r="I258" s="34"/>
      <c r="J258" s="34"/>
      <c r="K258" s="34"/>
      <c r="L258" s="34"/>
      <c r="M258" s="34"/>
      <c r="N258" s="34"/>
      <c r="O258" s="34"/>
      <c r="P258" s="34"/>
      <c r="Q258" s="34"/>
      <c r="R258" s="34"/>
      <c r="S258" s="12"/>
      <c r="T258" s="10"/>
      <c r="U258" s="10"/>
      <c r="V258" s="10"/>
      <c r="W258" s="23"/>
      <c r="X258" s="10"/>
      <c r="Y258" s="10"/>
      <c r="Z258" s="10"/>
      <c r="AA258" s="10"/>
      <c r="AB258" s="10"/>
      <c r="AC258" s="10"/>
    </row>
    <row r="259" s="2" customFormat="1" spans="1:29">
      <c r="A259" s="10"/>
      <c r="B259" s="23"/>
      <c r="C259" s="28"/>
      <c r="D259" s="29"/>
      <c r="E259" s="10"/>
      <c r="F259" s="35"/>
      <c r="G259" s="23"/>
      <c r="H259" s="17"/>
      <c r="I259" s="34"/>
      <c r="J259" s="34"/>
      <c r="K259" s="34"/>
      <c r="L259" s="34"/>
      <c r="M259" s="34"/>
      <c r="N259" s="34"/>
      <c r="O259" s="34"/>
      <c r="P259" s="34"/>
      <c r="Q259" s="34"/>
      <c r="R259" s="34"/>
      <c r="S259" s="12"/>
      <c r="T259" s="10"/>
      <c r="U259" s="10"/>
      <c r="V259" s="10"/>
      <c r="W259" s="23"/>
      <c r="X259" s="10"/>
      <c r="Y259" s="10"/>
      <c r="Z259" s="10"/>
      <c r="AA259" s="10"/>
      <c r="AB259" s="10"/>
      <c r="AC259" s="10"/>
    </row>
    <row r="260" s="2" customFormat="1" spans="1:29">
      <c r="A260" s="10"/>
      <c r="B260" s="23"/>
      <c r="C260" s="28"/>
      <c r="D260" s="29"/>
      <c r="E260" s="23"/>
      <c r="F260" s="35"/>
      <c r="G260" s="23"/>
      <c r="H260" s="36"/>
      <c r="I260" s="34"/>
      <c r="J260" s="34"/>
      <c r="K260" s="34"/>
      <c r="L260" s="34"/>
      <c r="M260" s="34"/>
      <c r="N260" s="34"/>
      <c r="O260" s="34"/>
      <c r="P260" s="34"/>
      <c r="Q260" s="34"/>
      <c r="R260" s="34"/>
      <c r="S260" s="12"/>
      <c r="T260" s="10"/>
      <c r="U260" s="10"/>
      <c r="V260" s="10"/>
      <c r="W260" s="23"/>
      <c r="X260" s="10"/>
      <c r="Y260" s="10"/>
      <c r="Z260" s="10"/>
      <c r="AA260" s="10"/>
      <c r="AB260" s="10"/>
      <c r="AC260" s="10"/>
    </row>
    <row r="261" s="2" customFormat="1" spans="1:29">
      <c r="A261" s="10"/>
      <c r="B261" s="23"/>
      <c r="C261" s="28"/>
      <c r="D261" s="29"/>
      <c r="E261" s="28"/>
      <c r="F261" s="35"/>
      <c r="G261" s="23"/>
      <c r="H261" s="31"/>
      <c r="I261" s="34"/>
      <c r="J261" s="34"/>
      <c r="K261" s="34"/>
      <c r="L261" s="34"/>
      <c r="M261" s="34"/>
      <c r="N261" s="34"/>
      <c r="O261" s="34"/>
      <c r="P261" s="34"/>
      <c r="Q261" s="34"/>
      <c r="R261" s="34"/>
      <c r="S261" s="12"/>
      <c r="T261" s="10"/>
      <c r="U261" s="10"/>
      <c r="V261" s="10"/>
      <c r="W261" s="23"/>
      <c r="X261" s="10"/>
      <c r="Y261" s="10"/>
      <c r="Z261" s="10"/>
      <c r="AA261" s="10"/>
      <c r="AB261" s="10"/>
      <c r="AC261" s="10"/>
    </row>
    <row r="262" s="2" customFormat="1" spans="1:29">
      <c r="A262" s="10"/>
      <c r="B262" s="23"/>
      <c r="C262" s="28"/>
      <c r="D262" s="29"/>
      <c r="E262" s="28"/>
      <c r="F262" s="35"/>
      <c r="G262" s="23"/>
      <c r="H262" s="31"/>
      <c r="I262" s="34"/>
      <c r="J262" s="34"/>
      <c r="K262" s="34"/>
      <c r="L262" s="34"/>
      <c r="M262" s="34"/>
      <c r="N262" s="34"/>
      <c r="O262" s="34"/>
      <c r="P262" s="34"/>
      <c r="Q262" s="34"/>
      <c r="R262" s="34"/>
      <c r="S262" s="12"/>
      <c r="T262" s="10"/>
      <c r="U262" s="10"/>
      <c r="V262" s="10"/>
      <c r="W262" s="23"/>
      <c r="X262" s="10"/>
      <c r="Y262" s="10"/>
      <c r="Z262" s="10"/>
      <c r="AA262" s="10"/>
      <c r="AB262" s="10"/>
      <c r="AC262" s="10"/>
    </row>
    <row r="263" s="2" customFormat="1" spans="1:29">
      <c r="A263" s="10"/>
      <c r="B263" s="23"/>
      <c r="C263" s="28"/>
      <c r="D263" s="29"/>
      <c r="E263" s="23"/>
      <c r="F263" s="35"/>
      <c r="G263" s="23"/>
      <c r="H263" s="36"/>
      <c r="I263" s="34"/>
      <c r="J263" s="34"/>
      <c r="K263" s="34"/>
      <c r="L263" s="34"/>
      <c r="M263" s="34"/>
      <c r="N263" s="34"/>
      <c r="O263" s="34"/>
      <c r="P263" s="34"/>
      <c r="Q263" s="34"/>
      <c r="R263" s="34"/>
      <c r="S263" s="12"/>
      <c r="T263" s="10"/>
      <c r="U263" s="10"/>
      <c r="V263" s="10"/>
      <c r="W263" s="23"/>
      <c r="X263" s="10"/>
      <c r="Y263" s="10"/>
      <c r="Z263" s="10"/>
      <c r="AA263" s="10"/>
      <c r="AB263" s="10"/>
      <c r="AC263" s="10"/>
    </row>
    <row r="264" s="2" customFormat="1" spans="1:29">
      <c r="A264" s="10"/>
      <c r="B264" s="23"/>
      <c r="C264" s="28"/>
      <c r="D264" s="29"/>
      <c r="E264" s="23"/>
      <c r="F264" s="35"/>
      <c r="G264" s="23"/>
      <c r="H264" s="36"/>
      <c r="I264" s="34"/>
      <c r="J264" s="34"/>
      <c r="K264" s="34"/>
      <c r="L264" s="34"/>
      <c r="M264" s="34"/>
      <c r="N264" s="34"/>
      <c r="O264" s="34"/>
      <c r="P264" s="34"/>
      <c r="Q264" s="34"/>
      <c r="R264" s="34"/>
      <c r="S264" s="12"/>
      <c r="T264" s="10"/>
      <c r="U264" s="10"/>
      <c r="V264" s="10"/>
      <c r="W264" s="23"/>
      <c r="X264" s="10"/>
      <c r="Y264" s="10"/>
      <c r="Z264" s="10"/>
      <c r="AA264" s="10"/>
      <c r="AB264" s="10"/>
      <c r="AC264" s="10"/>
    </row>
    <row r="265" s="2" customFormat="1" spans="1:29">
      <c r="A265" s="10"/>
      <c r="B265" s="23"/>
      <c r="C265" s="28"/>
      <c r="D265" s="29"/>
      <c r="E265" s="23"/>
      <c r="F265" s="35"/>
      <c r="G265" s="23"/>
      <c r="H265" s="36"/>
      <c r="I265" s="34"/>
      <c r="J265" s="34"/>
      <c r="K265" s="34"/>
      <c r="L265" s="34"/>
      <c r="M265" s="34"/>
      <c r="N265" s="34"/>
      <c r="O265" s="34"/>
      <c r="P265" s="34"/>
      <c r="Q265" s="34"/>
      <c r="R265" s="34"/>
      <c r="S265" s="35"/>
      <c r="T265" s="10"/>
      <c r="U265" s="10"/>
      <c r="V265" s="10"/>
      <c r="W265" s="23"/>
      <c r="X265" s="10"/>
      <c r="Y265" s="10"/>
      <c r="Z265" s="10"/>
      <c r="AA265" s="10"/>
      <c r="AB265" s="10"/>
      <c r="AC265" s="10"/>
    </row>
    <row r="266" s="2" customFormat="1" spans="1:29">
      <c r="A266" s="10"/>
      <c r="B266" s="23"/>
      <c r="C266" s="28"/>
      <c r="D266" s="29"/>
      <c r="E266" s="23"/>
      <c r="F266" s="35"/>
      <c r="G266" s="23"/>
      <c r="H266" s="36"/>
      <c r="I266" s="34"/>
      <c r="J266" s="34"/>
      <c r="K266" s="34"/>
      <c r="L266" s="34"/>
      <c r="M266" s="34"/>
      <c r="N266" s="34"/>
      <c r="O266" s="34"/>
      <c r="P266" s="34"/>
      <c r="Q266" s="34"/>
      <c r="R266" s="34"/>
      <c r="S266" s="35"/>
      <c r="T266" s="10"/>
      <c r="U266" s="10"/>
      <c r="V266" s="10"/>
      <c r="W266" s="23"/>
      <c r="X266" s="10"/>
      <c r="Y266" s="10"/>
      <c r="Z266" s="10"/>
      <c r="AA266" s="10"/>
      <c r="AB266" s="10"/>
      <c r="AC266" s="10"/>
    </row>
    <row r="267" s="2" customFormat="1" spans="1:29">
      <c r="A267" s="10"/>
      <c r="B267" s="23"/>
      <c r="C267" s="28"/>
      <c r="D267" s="29"/>
      <c r="E267" s="23"/>
      <c r="F267" s="35"/>
      <c r="G267" s="23"/>
      <c r="H267" s="36"/>
      <c r="I267" s="34"/>
      <c r="J267" s="34"/>
      <c r="K267" s="34"/>
      <c r="L267" s="34"/>
      <c r="M267" s="34"/>
      <c r="N267" s="34"/>
      <c r="O267" s="34"/>
      <c r="P267" s="34"/>
      <c r="Q267" s="34"/>
      <c r="R267" s="34"/>
      <c r="S267" s="35"/>
      <c r="T267" s="10"/>
      <c r="U267" s="10"/>
      <c r="V267" s="10"/>
      <c r="W267" s="23"/>
      <c r="X267" s="10"/>
      <c r="Y267" s="10"/>
      <c r="Z267" s="10"/>
      <c r="AA267" s="10"/>
      <c r="AB267" s="10"/>
      <c r="AC267" s="10"/>
    </row>
    <row r="268" s="2" customFormat="1" spans="1:29">
      <c r="A268" s="10"/>
      <c r="B268" s="23"/>
      <c r="C268" s="28"/>
      <c r="D268" s="29"/>
      <c r="E268" s="23"/>
      <c r="F268" s="35"/>
      <c r="G268" s="23"/>
      <c r="H268" s="36"/>
      <c r="I268" s="34"/>
      <c r="J268" s="34"/>
      <c r="K268" s="34"/>
      <c r="L268" s="34"/>
      <c r="M268" s="34"/>
      <c r="N268" s="34"/>
      <c r="O268" s="34"/>
      <c r="P268" s="34"/>
      <c r="Q268" s="34"/>
      <c r="R268" s="34"/>
      <c r="S268" s="35"/>
      <c r="T268" s="10"/>
      <c r="U268" s="10"/>
      <c r="V268" s="10"/>
      <c r="W268" s="23"/>
      <c r="X268" s="10"/>
      <c r="Y268" s="10"/>
      <c r="Z268" s="10"/>
      <c r="AA268" s="10"/>
      <c r="AB268" s="10"/>
      <c r="AC268" s="10"/>
    </row>
    <row r="269" s="2" customFormat="1" spans="1:29">
      <c r="A269" s="10"/>
      <c r="B269" s="23"/>
      <c r="C269" s="28"/>
      <c r="D269" s="29"/>
      <c r="E269" s="23"/>
      <c r="F269" s="35"/>
      <c r="G269" s="23"/>
      <c r="H269" s="36"/>
      <c r="I269" s="34"/>
      <c r="J269" s="34"/>
      <c r="K269" s="34"/>
      <c r="L269" s="34"/>
      <c r="M269" s="34"/>
      <c r="N269" s="34"/>
      <c r="O269" s="34"/>
      <c r="P269" s="34"/>
      <c r="Q269" s="34"/>
      <c r="R269" s="34"/>
      <c r="S269" s="35"/>
      <c r="T269" s="10"/>
      <c r="U269" s="10"/>
      <c r="V269" s="10"/>
      <c r="W269" s="23"/>
      <c r="X269" s="10"/>
      <c r="Y269" s="10"/>
      <c r="Z269" s="10"/>
      <c r="AA269" s="10"/>
      <c r="AB269" s="10"/>
      <c r="AC269" s="10"/>
    </row>
    <row r="270" s="2" customFormat="1" spans="1:29">
      <c r="A270" s="10"/>
      <c r="B270" s="23"/>
      <c r="C270" s="28"/>
      <c r="D270" s="29"/>
      <c r="E270" s="23"/>
      <c r="F270" s="35"/>
      <c r="G270" s="23"/>
      <c r="H270" s="36"/>
      <c r="I270" s="34"/>
      <c r="J270" s="34"/>
      <c r="K270" s="34"/>
      <c r="L270" s="34"/>
      <c r="M270" s="34"/>
      <c r="N270" s="34"/>
      <c r="O270" s="34"/>
      <c r="P270" s="34"/>
      <c r="Q270" s="34"/>
      <c r="R270" s="34"/>
      <c r="S270" s="35"/>
      <c r="T270" s="10"/>
      <c r="U270" s="10"/>
      <c r="V270" s="10"/>
      <c r="W270" s="23"/>
      <c r="X270" s="10"/>
      <c r="Y270" s="10"/>
      <c r="Z270" s="10"/>
      <c r="AA270" s="10"/>
      <c r="AB270" s="10"/>
      <c r="AC270" s="10"/>
    </row>
    <row r="271" s="2" customFormat="1" spans="1:29">
      <c r="A271" s="10"/>
      <c r="B271" s="23"/>
      <c r="C271" s="28"/>
      <c r="D271" s="29"/>
      <c r="E271" s="23"/>
      <c r="F271" s="35"/>
      <c r="G271" s="23"/>
      <c r="H271" s="36"/>
      <c r="I271" s="34"/>
      <c r="J271" s="34"/>
      <c r="K271" s="34"/>
      <c r="L271" s="34"/>
      <c r="M271" s="34"/>
      <c r="N271" s="34"/>
      <c r="O271" s="34"/>
      <c r="P271" s="34"/>
      <c r="Q271" s="34"/>
      <c r="R271" s="34"/>
      <c r="S271" s="35"/>
      <c r="T271" s="10"/>
      <c r="U271" s="10"/>
      <c r="V271" s="10"/>
      <c r="W271" s="23"/>
      <c r="X271" s="10"/>
      <c r="Y271" s="10"/>
      <c r="Z271" s="10"/>
      <c r="AA271" s="10"/>
      <c r="AB271" s="10"/>
      <c r="AC271" s="10"/>
    </row>
    <row r="272" s="2" customFormat="1" spans="1:29">
      <c r="A272" s="10"/>
      <c r="B272" s="23"/>
      <c r="C272" s="28"/>
      <c r="D272" s="29"/>
      <c r="E272" s="23"/>
      <c r="F272" s="35"/>
      <c r="G272" s="23"/>
      <c r="H272" s="36"/>
      <c r="I272" s="34"/>
      <c r="J272" s="34"/>
      <c r="K272" s="34"/>
      <c r="L272" s="34"/>
      <c r="M272" s="34"/>
      <c r="N272" s="34"/>
      <c r="O272" s="34"/>
      <c r="P272" s="34"/>
      <c r="Q272" s="34"/>
      <c r="R272" s="34"/>
      <c r="S272" s="35"/>
      <c r="T272" s="10"/>
      <c r="U272" s="10"/>
      <c r="V272" s="10"/>
      <c r="W272" s="23"/>
      <c r="X272" s="10"/>
      <c r="Y272" s="10"/>
      <c r="Z272" s="10"/>
      <c r="AA272" s="10"/>
      <c r="AB272" s="10"/>
      <c r="AC272" s="10"/>
    </row>
    <row r="273" s="2" customFormat="1" spans="1:29">
      <c r="A273" s="10"/>
      <c r="B273" s="23"/>
      <c r="C273" s="28"/>
      <c r="D273" s="29"/>
      <c r="E273" s="23"/>
      <c r="F273" s="35"/>
      <c r="G273" s="23"/>
      <c r="H273" s="36"/>
      <c r="I273" s="34"/>
      <c r="J273" s="34"/>
      <c r="K273" s="34"/>
      <c r="L273" s="34"/>
      <c r="M273" s="34"/>
      <c r="N273" s="34"/>
      <c r="O273" s="34"/>
      <c r="P273" s="34"/>
      <c r="Q273" s="34"/>
      <c r="R273" s="34"/>
      <c r="S273" s="35"/>
      <c r="T273" s="10"/>
      <c r="U273" s="10"/>
      <c r="V273" s="10"/>
      <c r="W273" s="23"/>
      <c r="X273" s="10"/>
      <c r="Y273" s="10"/>
      <c r="Z273" s="10"/>
      <c r="AA273" s="10"/>
      <c r="AB273" s="10"/>
      <c r="AC273" s="10"/>
    </row>
    <row r="274" s="2" customFormat="1" spans="1:29">
      <c r="A274" s="10"/>
      <c r="B274" s="23"/>
      <c r="C274" s="28"/>
      <c r="D274" s="29"/>
      <c r="E274" s="28"/>
      <c r="F274" s="35"/>
      <c r="G274" s="23"/>
      <c r="H274" s="31"/>
      <c r="I274" s="34"/>
      <c r="J274" s="34"/>
      <c r="K274" s="34"/>
      <c r="L274" s="34"/>
      <c r="M274" s="34"/>
      <c r="N274" s="34"/>
      <c r="O274" s="34"/>
      <c r="P274" s="34"/>
      <c r="Q274" s="34"/>
      <c r="R274" s="34"/>
      <c r="S274" s="12"/>
      <c r="T274" s="10"/>
      <c r="U274" s="10"/>
      <c r="V274" s="10"/>
      <c r="W274" s="23"/>
      <c r="X274" s="10"/>
      <c r="Y274" s="10"/>
      <c r="Z274" s="10"/>
      <c r="AA274" s="10"/>
      <c r="AB274" s="10"/>
      <c r="AC274" s="10"/>
    </row>
    <row r="275" s="2" customFormat="1" spans="1:29">
      <c r="A275" s="10"/>
      <c r="B275" s="23"/>
      <c r="C275" s="28"/>
      <c r="D275" s="29"/>
      <c r="E275" s="28"/>
      <c r="F275" s="35"/>
      <c r="G275" s="23"/>
      <c r="H275" s="31"/>
      <c r="I275" s="34"/>
      <c r="J275" s="34"/>
      <c r="K275" s="34"/>
      <c r="L275" s="34"/>
      <c r="M275" s="34"/>
      <c r="N275" s="34"/>
      <c r="O275" s="34"/>
      <c r="P275" s="34"/>
      <c r="Q275" s="34"/>
      <c r="R275" s="34"/>
      <c r="S275" s="12"/>
      <c r="T275" s="10"/>
      <c r="U275" s="10"/>
      <c r="V275" s="10"/>
      <c r="W275" s="23"/>
      <c r="X275" s="10"/>
      <c r="Y275" s="10"/>
      <c r="Z275" s="10"/>
      <c r="AA275" s="10"/>
      <c r="AB275" s="10"/>
      <c r="AC275" s="10"/>
    </row>
    <row r="276" s="2" customFormat="1" spans="1:29">
      <c r="A276" s="10"/>
      <c r="B276" s="23"/>
      <c r="C276" s="28"/>
      <c r="D276" s="29"/>
      <c r="E276" s="23"/>
      <c r="F276" s="35"/>
      <c r="G276" s="23"/>
      <c r="H276" s="36"/>
      <c r="I276" s="34"/>
      <c r="J276" s="34"/>
      <c r="K276" s="34"/>
      <c r="L276" s="34"/>
      <c r="M276" s="34"/>
      <c r="N276" s="34"/>
      <c r="O276" s="34"/>
      <c r="P276" s="34"/>
      <c r="Q276" s="34"/>
      <c r="R276" s="34"/>
      <c r="S276" s="35"/>
      <c r="T276" s="10"/>
      <c r="U276" s="10"/>
      <c r="V276" s="10"/>
      <c r="W276" s="23"/>
      <c r="X276" s="10"/>
      <c r="Y276" s="10"/>
      <c r="Z276" s="10"/>
      <c r="AA276" s="10"/>
      <c r="AB276" s="10"/>
      <c r="AC276" s="10"/>
    </row>
    <row r="277" s="2" customFormat="1" spans="1:29">
      <c r="A277" s="10"/>
      <c r="B277" s="23"/>
      <c r="C277" s="28"/>
      <c r="D277" s="29"/>
      <c r="E277" s="29"/>
      <c r="F277" s="35"/>
      <c r="G277" s="23"/>
      <c r="H277" s="32"/>
      <c r="I277" s="34"/>
      <c r="J277" s="34"/>
      <c r="K277" s="34"/>
      <c r="L277" s="34"/>
      <c r="M277" s="34"/>
      <c r="N277" s="34"/>
      <c r="O277" s="34"/>
      <c r="P277" s="34"/>
      <c r="Q277" s="34"/>
      <c r="R277" s="34"/>
      <c r="S277" s="35"/>
      <c r="T277" s="10"/>
      <c r="U277" s="10"/>
      <c r="V277" s="10"/>
      <c r="W277" s="23"/>
      <c r="X277" s="10"/>
      <c r="Y277" s="10"/>
      <c r="Z277" s="10"/>
      <c r="AA277" s="10"/>
      <c r="AB277" s="10"/>
      <c r="AC277" s="10"/>
    </row>
    <row r="278" s="2" customFormat="1" spans="1:29">
      <c r="A278" s="10"/>
      <c r="B278" s="23"/>
      <c r="C278" s="28"/>
      <c r="D278" s="29"/>
      <c r="E278" s="29"/>
      <c r="F278" s="35"/>
      <c r="G278" s="23"/>
      <c r="H278" s="32"/>
      <c r="I278" s="34"/>
      <c r="J278" s="34"/>
      <c r="K278" s="34"/>
      <c r="L278" s="34"/>
      <c r="M278" s="34"/>
      <c r="N278" s="34"/>
      <c r="O278" s="34"/>
      <c r="P278" s="34"/>
      <c r="Q278" s="34"/>
      <c r="R278" s="34"/>
      <c r="S278" s="35"/>
      <c r="T278" s="10"/>
      <c r="U278" s="10"/>
      <c r="V278" s="10"/>
      <c r="W278" s="23"/>
      <c r="X278" s="10"/>
      <c r="Y278" s="10"/>
      <c r="Z278" s="10"/>
      <c r="AA278" s="10"/>
      <c r="AB278" s="10"/>
      <c r="AC278" s="10"/>
    </row>
    <row r="279" s="2" customFormat="1" spans="1:29">
      <c r="A279" s="10"/>
      <c r="B279" s="23"/>
      <c r="C279" s="28"/>
      <c r="D279" s="29"/>
      <c r="E279" s="29"/>
      <c r="F279" s="35"/>
      <c r="G279" s="23"/>
      <c r="H279" s="32"/>
      <c r="I279" s="34"/>
      <c r="J279" s="34"/>
      <c r="K279" s="34"/>
      <c r="L279" s="34"/>
      <c r="M279" s="34"/>
      <c r="N279" s="34"/>
      <c r="O279" s="34"/>
      <c r="P279" s="34"/>
      <c r="Q279" s="34"/>
      <c r="R279" s="34"/>
      <c r="S279" s="35"/>
      <c r="T279" s="10"/>
      <c r="U279" s="10"/>
      <c r="V279" s="10"/>
      <c r="W279" s="23"/>
      <c r="X279" s="10"/>
      <c r="Y279" s="10"/>
      <c r="Z279" s="10"/>
      <c r="AA279" s="10"/>
      <c r="AB279" s="10"/>
      <c r="AC279" s="10"/>
    </row>
    <row r="280" s="2" customFormat="1" spans="1:29">
      <c r="A280" s="10"/>
      <c r="B280" s="23"/>
      <c r="C280" s="28"/>
      <c r="D280" s="29"/>
      <c r="E280" s="29"/>
      <c r="F280" s="35"/>
      <c r="G280" s="23"/>
      <c r="H280" s="32"/>
      <c r="I280" s="34"/>
      <c r="J280" s="34"/>
      <c r="K280" s="34"/>
      <c r="L280" s="34"/>
      <c r="M280" s="34"/>
      <c r="N280" s="34"/>
      <c r="O280" s="34"/>
      <c r="P280" s="34"/>
      <c r="Q280" s="34"/>
      <c r="R280" s="34"/>
      <c r="S280" s="35"/>
      <c r="T280" s="10"/>
      <c r="U280" s="10"/>
      <c r="V280" s="10"/>
      <c r="W280" s="23"/>
      <c r="X280" s="10"/>
      <c r="Y280" s="10"/>
      <c r="Z280" s="10"/>
      <c r="AA280" s="10"/>
      <c r="AB280" s="10"/>
      <c r="AC280" s="10"/>
    </row>
    <row r="281" s="2" customFormat="1" spans="1:29">
      <c r="A281" s="10"/>
      <c r="B281" s="23"/>
      <c r="C281" s="28"/>
      <c r="D281" s="29"/>
      <c r="E281" s="29"/>
      <c r="F281" s="35"/>
      <c r="G281" s="23"/>
      <c r="H281" s="32"/>
      <c r="I281" s="34"/>
      <c r="J281" s="34"/>
      <c r="K281" s="34"/>
      <c r="L281" s="34"/>
      <c r="M281" s="34"/>
      <c r="N281" s="34"/>
      <c r="O281" s="34"/>
      <c r="P281" s="34"/>
      <c r="Q281" s="34"/>
      <c r="R281" s="34"/>
      <c r="S281" s="35"/>
      <c r="T281" s="10"/>
      <c r="U281" s="10"/>
      <c r="V281" s="10"/>
      <c r="W281" s="23"/>
      <c r="X281" s="10"/>
      <c r="Y281" s="10"/>
      <c r="Z281" s="10"/>
      <c r="AA281" s="10"/>
      <c r="AB281" s="10"/>
      <c r="AC281" s="10"/>
    </row>
    <row r="282" s="2" customFormat="1" spans="1:29">
      <c r="A282" s="10"/>
      <c r="B282" s="23"/>
      <c r="C282" s="28"/>
      <c r="D282" s="29"/>
      <c r="E282" s="29"/>
      <c r="F282" s="35"/>
      <c r="G282" s="23"/>
      <c r="H282" s="32"/>
      <c r="I282" s="34"/>
      <c r="J282" s="34"/>
      <c r="K282" s="34"/>
      <c r="L282" s="34"/>
      <c r="M282" s="34"/>
      <c r="N282" s="34"/>
      <c r="O282" s="34"/>
      <c r="P282" s="34"/>
      <c r="Q282" s="34"/>
      <c r="R282" s="34"/>
      <c r="S282" s="35"/>
      <c r="T282" s="10"/>
      <c r="U282" s="10"/>
      <c r="V282" s="10"/>
      <c r="W282" s="23"/>
      <c r="X282" s="10"/>
      <c r="Y282" s="10"/>
      <c r="Z282" s="10"/>
      <c r="AA282" s="10"/>
      <c r="AB282" s="10"/>
      <c r="AC282" s="10"/>
    </row>
    <row r="283" s="2" customFormat="1" spans="1:29">
      <c r="A283" s="10"/>
      <c r="B283" s="23"/>
      <c r="C283" s="28"/>
      <c r="D283" s="29"/>
      <c r="E283" s="29"/>
      <c r="F283" s="35"/>
      <c r="G283" s="23"/>
      <c r="H283" s="32"/>
      <c r="I283" s="34"/>
      <c r="J283" s="34"/>
      <c r="K283" s="34"/>
      <c r="L283" s="34"/>
      <c r="M283" s="34"/>
      <c r="N283" s="34"/>
      <c r="O283" s="34"/>
      <c r="P283" s="34"/>
      <c r="Q283" s="34"/>
      <c r="R283" s="34"/>
      <c r="S283" s="12"/>
      <c r="T283" s="10"/>
      <c r="U283" s="10"/>
      <c r="V283" s="10"/>
      <c r="W283" s="23"/>
      <c r="X283" s="10"/>
      <c r="Y283" s="10"/>
      <c r="Z283" s="10"/>
      <c r="AA283" s="10"/>
      <c r="AB283" s="10"/>
      <c r="AC283" s="10"/>
    </row>
    <row r="284" s="2" customFormat="1" spans="1:29">
      <c r="A284" s="10"/>
      <c r="B284" s="23"/>
      <c r="C284" s="28"/>
      <c r="D284" s="29"/>
      <c r="E284" s="29"/>
      <c r="F284" s="35"/>
      <c r="G284" s="23"/>
      <c r="H284" s="32"/>
      <c r="I284" s="34"/>
      <c r="J284" s="34"/>
      <c r="K284" s="34"/>
      <c r="L284" s="34"/>
      <c r="M284" s="34"/>
      <c r="N284" s="34"/>
      <c r="O284" s="34"/>
      <c r="P284" s="34"/>
      <c r="Q284" s="34"/>
      <c r="R284" s="34"/>
      <c r="S284" s="35"/>
      <c r="T284" s="10"/>
      <c r="U284" s="10"/>
      <c r="V284" s="10"/>
      <c r="W284" s="23"/>
      <c r="X284" s="10"/>
      <c r="Y284" s="10"/>
      <c r="Z284" s="10"/>
      <c r="AA284" s="10"/>
      <c r="AB284" s="10"/>
      <c r="AC284" s="10"/>
    </row>
    <row r="285" s="2" customFormat="1" spans="1:29">
      <c r="A285" s="10"/>
      <c r="B285" s="23"/>
      <c r="C285" s="28"/>
      <c r="D285" s="29"/>
      <c r="E285" s="29"/>
      <c r="F285" s="33"/>
      <c r="G285" s="23"/>
      <c r="H285" s="32"/>
      <c r="I285" s="34"/>
      <c r="J285" s="34"/>
      <c r="K285" s="34"/>
      <c r="L285" s="34"/>
      <c r="M285" s="34"/>
      <c r="N285" s="34"/>
      <c r="O285" s="34"/>
      <c r="P285" s="34"/>
      <c r="Q285" s="34"/>
      <c r="R285" s="34"/>
      <c r="S285" s="35"/>
      <c r="T285" s="10"/>
      <c r="U285" s="10"/>
      <c r="V285" s="10"/>
      <c r="W285" s="23"/>
      <c r="X285" s="10"/>
      <c r="Y285" s="10"/>
      <c r="Z285" s="10"/>
      <c r="AA285" s="10"/>
      <c r="AB285" s="10"/>
      <c r="AC285" s="10"/>
    </row>
    <row r="286" s="2" customFormat="1" spans="1:29">
      <c r="A286" s="10"/>
      <c r="B286" s="23"/>
      <c r="C286" s="28"/>
      <c r="D286" s="29"/>
      <c r="E286" s="29"/>
      <c r="F286" s="33"/>
      <c r="G286" s="23"/>
      <c r="H286" s="32"/>
      <c r="I286" s="34"/>
      <c r="J286" s="34"/>
      <c r="K286" s="34"/>
      <c r="L286" s="34"/>
      <c r="M286" s="34"/>
      <c r="N286" s="34"/>
      <c r="O286" s="34"/>
      <c r="P286" s="34"/>
      <c r="Q286" s="34"/>
      <c r="R286" s="34"/>
      <c r="S286" s="12"/>
      <c r="T286" s="10"/>
      <c r="U286" s="10"/>
      <c r="V286" s="10"/>
      <c r="W286" s="23"/>
      <c r="X286" s="10"/>
      <c r="Y286" s="10"/>
      <c r="Z286" s="10"/>
      <c r="AA286" s="10"/>
      <c r="AB286" s="10"/>
      <c r="AC286" s="10"/>
    </row>
    <row r="287" s="2" customFormat="1" spans="1:29">
      <c r="A287" s="10"/>
      <c r="B287" s="23"/>
      <c r="C287" s="28"/>
      <c r="D287" s="29"/>
      <c r="E287" s="23"/>
      <c r="F287" s="35"/>
      <c r="G287" s="23"/>
      <c r="H287" s="36"/>
      <c r="I287" s="34"/>
      <c r="J287" s="34"/>
      <c r="K287" s="34"/>
      <c r="L287" s="34"/>
      <c r="M287" s="34"/>
      <c r="N287" s="34"/>
      <c r="O287" s="34"/>
      <c r="P287" s="34"/>
      <c r="Q287" s="34"/>
      <c r="R287" s="34"/>
      <c r="S287" s="35"/>
      <c r="T287" s="10"/>
      <c r="U287" s="10"/>
      <c r="V287" s="10"/>
      <c r="W287" s="23"/>
      <c r="X287" s="10"/>
      <c r="Y287" s="10"/>
      <c r="Z287" s="10"/>
      <c r="AA287" s="10"/>
      <c r="AB287" s="10"/>
      <c r="AC287" s="10"/>
    </row>
    <row r="288" s="2" customFormat="1" spans="1:29">
      <c r="A288" s="10"/>
      <c r="B288" s="23"/>
      <c r="C288" s="28"/>
      <c r="D288" s="29"/>
      <c r="E288" s="23"/>
      <c r="F288" s="35"/>
      <c r="G288" s="23"/>
      <c r="H288" s="36"/>
      <c r="I288" s="34"/>
      <c r="J288" s="34"/>
      <c r="K288" s="34"/>
      <c r="L288" s="34"/>
      <c r="M288" s="34"/>
      <c r="N288" s="34"/>
      <c r="O288" s="34"/>
      <c r="P288" s="34"/>
      <c r="Q288" s="34"/>
      <c r="R288" s="34"/>
      <c r="S288" s="35"/>
      <c r="T288" s="10"/>
      <c r="U288" s="10"/>
      <c r="V288" s="10"/>
      <c r="W288" s="23"/>
      <c r="X288" s="10"/>
      <c r="Y288" s="10"/>
      <c r="Z288" s="10"/>
      <c r="AA288" s="10"/>
      <c r="AB288" s="10"/>
      <c r="AC288" s="10"/>
    </row>
    <row r="289" s="2" customFormat="1" spans="1:29">
      <c r="A289" s="10"/>
      <c r="B289" s="23"/>
      <c r="C289" s="28"/>
      <c r="D289" s="29"/>
      <c r="E289" s="28"/>
      <c r="F289" s="12"/>
      <c r="G289" s="23"/>
      <c r="H289" s="31"/>
      <c r="I289" s="34"/>
      <c r="J289" s="34"/>
      <c r="K289" s="34"/>
      <c r="L289" s="34"/>
      <c r="M289" s="34"/>
      <c r="N289" s="34"/>
      <c r="O289" s="34"/>
      <c r="P289" s="34"/>
      <c r="Q289" s="34"/>
      <c r="R289" s="34"/>
      <c r="S289" s="12"/>
      <c r="T289" s="10"/>
      <c r="U289" s="10"/>
      <c r="V289" s="10"/>
      <c r="W289" s="23"/>
      <c r="X289" s="10"/>
      <c r="Y289" s="10"/>
      <c r="Z289" s="10"/>
      <c r="AA289" s="10"/>
      <c r="AB289" s="10"/>
      <c r="AC289" s="10"/>
    </row>
    <row r="290" s="2" customFormat="1" spans="1:29">
      <c r="A290" s="10"/>
      <c r="B290" s="23"/>
      <c r="C290" s="28"/>
      <c r="D290" s="29"/>
      <c r="E290" s="28"/>
      <c r="F290" s="12"/>
      <c r="G290" s="23"/>
      <c r="H290" s="31"/>
      <c r="I290" s="34"/>
      <c r="J290" s="34"/>
      <c r="K290" s="34"/>
      <c r="L290" s="34"/>
      <c r="M290" s="34"/>
      <c r="N290" s="34"/>
      <c r="O290" s="34"/>
      <c r="P290" s="34"/>
      <c r="Q290" s="34"/>
      <c r="R290" s="34"/>
      <c r="S290" s="35"/>
      <c r="T290" s="10"/>
      <c r="U290" s="10"/>
      <c r="V290" s="10"/>
      <c r="W290" s="23"/>
      <c r="X290" s="10"/>
      <c r="Y290" s="10"/>
      <c r="Z290" s="10"/>
      <c r="AA290" s="10"/>
      <c r="AB290" s="10"/>
      <c r="AC290" s="10"/>
    </row>
    <row r="291" s="2" customFormat="1" spans="1:29">
      <c r="A291" s="10"/>
      <c r="B291" s="23"/>
      <c r="C291" s="28"/>
      <c r="D291" s="29"/>
      <c r="E291" s="28"/>
      <c r="F291" s="12"/>
      <c r="G291" s="23"/>
      <c r="H291" s="31"/>
      <c r="I291" s="34"/>
      <c r="J291" s="34"/>
      <c r="K291" s="34"/>
      <c r="L291" s="34"/>
      <c r="M291" s="34"/>
      <c r="N291" s="34"/>
      <c r="O291" s="34"/>
      <c r="P291" s="34"/>
      <c r="Q291" s="34"/>
      <c r="R291" s="34"/>
      <c r="S291" s="12"/>
      <c r="T291" s="10"/>
      <c r="U291" s="10"/>
      <c r="V291" s="10"/>
      <c r="W291" s="23"/>
      <c r="X291" s="10"/>
      <c r="Y291" s="10"/>
      <c r="Z291" s="10"/>
      <c r="AA291" s="10"/>
      <c r="AB291" s="10"/>
      <c r="AC291" s="10"/>
    </row>
    <row r="292" s="2" customFormat="1" spans="1:29">
      <c r="A292" s="10"/>
      <c r="B292" s="23"/>
      <c r="C292" s="28"/>
      <c r="D292" s="29"/>
      <c r="E292" s="23"/>
      <c r="F292" s="35"/>
      <c r="G292" s="23"/>
      <c r="H292" s="32"/>
      <c r="I292" s="34"/>
      <c r="J292" s="34"/>
      <c r="K292" s="34"/>
      <c r="L292" s="34"/>
      <c r="M292" s="34"/>
      <c r="N292" s="34"/>
      <c r="O292" s="34"/>
      <c r="P292" s="34"/>
      <c r="Q292" s="34"/>
      <c r="R292" s="34"/>
      <c r="S292" s="12"/>
      <c r="T292" s="10"/>
      <c r="U292" s="10"/>
      <c r="V292" s="10"/>
      <c r="W292" s="23"/>
      <c r="X292" s="10"/>
      <c r="Y292" s="10"/>
      <c r="Z292" s="10"/>
      <c r="AA292" s="10"/>
      <c r="AB292" s="10"/>
      <c r="AC292" s="10"/>
    </row>
    <row r="293" s="2" customFormat="1" spans="1:29">
      <c r="A293" s="10"/>
      <c r="B293" s="23"/>
      <c r="C293" s="28"/>
      <c r="D293" s="29"/>
      <c r="E293" s="23"/>
      <c r="F293" s="35"/>
      <c r="G293" s="23"/>
      <c r="H293" s="32"/>
      <c r="I293" s="34"/>
      <c r="J293" s="34"/>
      <c r="K293" s="34"/>
      <c r="L293" s="34"/>
      <c r="M293" s="34"/>
      <c r="N293" s="34"/>
      <c r="O293" s="34"/>
      <c r="P293" s="34"/>
      <c r="Q293" s="34"/>
      <c r="R293" s="34"/>
      <c r="S293" s="12"/>
      <c r="T293" s="10"/>
      <c r="U293" s="10"/>
      <c r="V293" s="10"/>
      <c r="W293" s="23"/>
      <c r="X293" s="10"/>
      <c r="Y293" s="10"/>
      <c r="Z293" s="10"/>
      <c r="AA293" s="10"/>
      <c r="AB293" s="10"/>
      <c r="AC293" s="10"/>
    </row>
    <row r="294" s="2" customFormat="1" spans="1:29">
      <c r="A294" s="10"/>
      <c r="B294" s="23"/>
      <c r="C294" s="28"/>
      <c r="D294" s="29"/>
      <c r="E294" s="23"/>
      <c r="F294" s="35"/>
      <c r="G294" s="23"/>
      <c r="H294" s="32"/>
      <c r="I294" s="34"/>
      <c r="J294" s="34"/>
      <c r="K294" s="34"/>
      <c r="L294" s="34"/>
      <c r="M294" s="34"/>
      <c r="N294" s="34"/>
      <c r="O294" s="34"/>
      <c r="P294" s="34"/>
      <c r="Q294" s="34"/>
      <c r="R294" s="34"/>
      <c r="S294" s="12"/>
      <c r="T294" s="10"/>
      <c r="U294" s="10"/>
      <c r="V294" s="10"/>
      <c r="W294" s="23"/>
      <c r="X294" s="10"/>
      <c r="Y294" s="10"/>
      <c r="Z294" s="10"/>
      <c r="AA294" s="10"/>
      <c r="AB294" s="10"/>
      <c r="AC294" s="10"/>
    </row>
    <row r="295" s="2" customFormat="1" spans="1:29">
      <c r="A295" s="10"/>
      <c r="B295" s="23"/>
      <c r="C295" s="28"/>
      <c r="D295" s="29"/>
      <c r="E295" s="23"/>
      <c r="F295" s="35"/>
      <c r="G295" s="23"/>
      <c r="H295" s="32"/>
      <c r="I295" s="34"/>
      <c r="J295" s="34"/>
      <c r="K295" s="34"/>
      <c r="L295" s="34"/>
      <c r="M295" s="34"/>
      <c r="N295" s="34"/>
      <c r="O295" s="34"/>
      <c r="P295" s="34"/>
      <c r="Q295" s="34"/>
      <c r="R295" s="34"/>
      <c r="S295" s="12"/>
      <c r="T295" s="10"/>
      <c r="U295" s="10"/>
      <c r="V295" s="10"/>
      <c r="W295" s="23"/>
      <c r="X295" s="10"/>
      <c r="Y295" s="10"/>
      <c r="Z295" s="10"/>
      <c r="AA295" s="10"/>
      <c r="AB295" s="10"/>
      <c r="AC295" s="10"/>
    </row>
    <row r="296" s="2" customFormat="1" spans="1:29">
      <c r="A296" s="10"/>
      <c r="B296" s="23"/>
      <c r="C296" s="28"/>
      <c r="D296" s="29"/>
      <c r="E296" s="23"/>
      <c r="F296" s="35"/>
      <c r="G296" s="23"/>
      <c r="H296" s="32"/>
      <c r="I296" s="34"/>
      <c r="J296" s="34"/>
      <c r="K296" s="34"/>
      <c r="L296" s="34"/>
      <c r="M296" s="34"/>
      <c r="N296" s="34"/>
      <c r="O296" s="34"/>
      <c r="P296" s="34"/>
      <c r="Q296" s="34"/>
      <c r="R296" s="34"/>
      <c r="S296" s="12"/>
      <c r="T296" s="10"/>
      <c r="U296" s="10"/>
      <c r="V296" s="10"/>
      <c r="W296" s="23"/>
      <c r="X296" s="10"/>
      <c r="Y296" s="10"/>
      <c r="Z296" s="10"/>
      <c r="AA296" s="10"/>
      <c r="AB296" s="10"/>
      <c r="AC296" s="10"/>
    </row>
    <row r="297" s="2" customFormat="1" spans="1:29">
      <c r="A297" s="10"/>
      <c r="B297" s="23"/>
      <c r="C297" s="28"/>
      <c r="D297" s="29"/>
      <c r="E297" s="23"/>
      <c r="F297" s="35"/>
      <c r="G297" s="23"/>
      <c r="H297" s="32"/>
      <c r="I297" s="34"/>
      <c r="J297" s="34"/>
      <c r="K297" s="34"/>
      <c r="L297" s="34"/>
      <c r="M297" s="34"/>
      <c r="N297" s="34"/>
      <c r="O297" s="34"/>
      <c r="P297" s="34"/>
      <c r="Q297" s="34"/>
      <c r="R297" s="34"/>
      <c r="S297" s="12"/>
      <c r="T297" s="10"/>
      <c r="U297" s="10"/>
      <c r="V297" s="10"/>
      <c r="W297" s="23"/>
      <c r="X297" s="10"/>
      <c r="Y297" s="10"/>
      <c r="Z297" s="10"/>
      <c r="AA297" s="10"/>
      <c r="AB297" s="10"/>
      <c r="AC297" s="10"/>
    </row>
    <row r="298" s="2" customFormat="1" spans="1:29">
      <c r="A298" s="10"/>
      <c r="B298" s="23"/>
      <c r="C298" s="28"/>
      <c r="D298" s="29"/>
      <c r="E298" s="23"/>
      <c r="F298" s="35"/>
      <c r="G298" s="23"/>
      <c r="H298" s="32"/>
      <c r="I298" s="34"/>
      <c r="J298" s="34"/>
      <c r="K298" s="34"/>
      <c r="L298" s="34"/>
      <c r="M298" s="34"/>
      <c r="N298" s="34"/>
      <c r="O298" s="34"/>
      <c r="P298" s="34"/>
      <c r="Q298" s="34"/>
      <c r="R298" s="34"/>
      <c r="S298" s="12"/>
      <c r="T298" s="10"/>
      <c r="U298" s="10"/>
      <c r="V298" s="10"/>
      <c r="W298" s="23"/>
      <c r="X298" s="10"/>
      <c r="Y298" s="10"/>
      <c r="Z298" s="10"/>
      <c r="AA298" s="10"/>
      <c r="AB298" s="10"/>
      <c r="AC298" s="10"/>
    </row>
    <row r="299" s="2" customFormat="1" spans="1:29">
      <c r="A299" s="10"/>
      <c r="B299" s="23"/>
      <c r="C299" s="28"/>
      <c r="D299" s="29"/>
      <c r="E299" s="10"/>
      <c r="F299" s="35"/>
      <c r="G299" s="23"/>
      <c r="H299" s="32"/>
      <c r="I299" s="34"/>
      <c r="J299" s="34"/>
      <c r="K299" s="34"/>
      <c r="L299" s="34"/>
      <c r="M299" s="34"/>
      <c r="N299" s="34"/>
      <c r="O299" s="34"/>
      <c r="P299" s="34"/>
      <c r="Q299" s="34"/>
      <c r="R299" s="34"/>
      <c r="S299" s="12"/>
      <c r="T299" s="10"/>
      <c r="U299" s="10"/>
      <c r="V299" s="10"/>
      <c r="W299" s="23"/>
      <c r="X299" s="10"/>
      <c r="Y299" s="10"/>
      <c r="Z299" s="10"/>
      <c r="AA299" s="10"/>
      <c r="AB299" s="10"/>
      <c r="AC299" s="10"/>
    </row>
    <row r="300" s="2" customFormat="1" spans="1:29">
      <c r="A300" s="10"/>
      <c r="B300" s="23"/>
      <c r="C300" s="28"/>
      <c r="D300" s="29"/>
      <c r="E300" s="10"/>
      <c r="F300" s="35"/>
      <c r="G300" s="23"/>
      <c r="H300" s="32"/>
      <c r="I300" s="34"/>
      <c r="J300" s="34"/>
      <c r="K300" s="34"/>
      <c r="L300" s="34"/>
      <c r="M300" s="34"/>
      <c r="N300" s="34"/>
      <c r="O300" s="34"/>
      <c r="P300" s="34"/>
      <c r="Q300" s="34"/>
      <c r="R300" s="34"/>
      <c r="S300" s="12"/>
      <c r="T300" s="10"/>
      <c r="U300" s="10"/>
      <c r="V300" s="10"/>
      <c r="W300" s="23"/>
      <c r="X300" s="10"/>
      <c r="Y300" s="10"/>
      <c r="Z300" s="10"/>
      <c r="AA300" s="10"/>
      <c r="AB300" s="10"/>
      <c r="AC300" s="10"/>
    </row>
    <row r="301" s="2" customFormat="1" spans="1:29">
      <c r="A301" s="10"/>
      <c r="B301" s="23"/>
      <c r="C301" s="28"/>
      <c r="D301" s="29"/>
      <c r="E301" s="10"/>
      <c r="F301" s="35"/>
      <c r="G301" s="23"/>
      <c r="H301" s="17"/>
      <c r="I301" s="34"/>
      <c r="J301" s="34"/>
      <c r="K301" s="34"/>
      <c r="L301" s="34"/>
      <c r="M301" s="34"/>
      <c r="N301" s="34"/>
      <c r="O301" s="34"/>
      <c r="P301" s="34"/>
      <c r="Q301" s="34"/>
      <c r="R301" s="34"/>
      <c r="S301" s="12"/>
      <c r="T301" s="10"/>
      <c r="U301" s="10"/>
      <c r="V301" s="10"/>
      <c r="W301" s="23"/>
      <c r="X301" s="10"/>
      <c r="Y301" s="10"/>
      <c r="Z301" s="10"/>
      <c r="AA301" s="10"/>
      <c r="AB301" s="10"/>
      <c r="AC301" s="10"/>
    </row>
    <row r="302" s="2" customFormat="1" spans="1:29">
      <c r="A302" s="10"/>
      <c r="B302" s="23"/>
      <c r="C302" s="28"/>
      <c r="D302" s="29"/>
      <c r="E302" s="28"/>
      <c r="F302" s="12"/>
      <c r="G302" s="23"/>
      <c r="H302" s="31"/>
      <c r="I302" s="34"/>
      <c r="J302" s="34"/>
      <c r="K302" s="34"/>
      <c r="L302" s="34"/>
      <c r="M302" s="34"/>
      <c r="N302" s="34"/>
      <c r="O302" s="34"/>
      <c r="P302" s="34"/>
      <c r="Q302" s="34"/>
      <c r="R302" s="34"/>
      <c r="S302" s="12"/>
      <c r="T302" s="10"/>
      <c r="U302" s="10"/>
      <c r="V302" s="10"/>
      <c r="W302" s="23"/>
      <c r="X302" s="10"/>
      <c r="Y302" s="10"/>
      <c r="Z302" s="10"/>
      <c r="AA302" s="10"/>
      <c r="AB302" s="10"/>
      <c r="AC302" s="10"/>
    </row>
    <row r="303" s="2" customFormat="1" spans="1:29">
      <c r="A303" s="10"/>
      <c r="B303" s="23"/>
      <c r="C303" s="28"/>
      <c r="D303" s="29"/>
      <c r="E303" s="28"/>
      <c r="F303" s="12"/>
      <c r="G303" s="23"/>
      <c r="H303" s="31"/>
      <c r="I303" s="34"/>
      <c r="J303" s="34"/>
      <c r="K303" s="34"/>
      <c r="L303" s="34"/>
      <c r="M303" s="34"/>
      <c r="N303" s="34"/>
      <c r="O303" s="34"/>
      <c r="P303" s="34"/>
      <c r="Q303" s="34"/>
      <c r="R303" s="34"/>
      <c r="S303" s="12"/>
      <c r="T303" s="10"/>
      <c r="U303" s="10"/>
      <c r="V303" s="10"/>
      <c r="W303" s="23"/>
      <c r="X303" s="10"/>
      <c r="Y303" s="10"/>
      <c r="Z303" s="10"/>
      <c r="AA303" s="10"/>
      <c r="AB303" s="10"/>
      <c r="AC303" s="10"/>
    </row>
    <row r="304" s="2" customFormat="1" spans="1:29">
      <c r="A304" s="10"/>
      <c r="B304" s="23"/>
      <c r="C304" s="28"/>
      <c r="D304" s="29"/>
      <c r="E304" s="28"/>
      <c r="F304" s="12"/>
      <c r="G304" s="23"/>
      <c r="H304" s="31"/>
      <c r="I304" s="34"/>
      <c r="J304" s="34"/>
      <c r="K304" s="34"/>
      <c r="L304" s="34"/>
      <c r="M304" s="34"/>
      <c r="N304" s="34"/>
      <c r="O304" s="34"/>
      <c r="P304" s="34"/>
      <c r="Q304" s="34"/>
      <c r="R304" s="34"/>
      <c r="S304" s="12"/>
      <c r="T304" s="10"/>
      <c r="U304" s="10"/>
      <c r="V304" s="10"/>
      <c r="W304" s="23"/>
      <c r="X304" s="10"/>
      <c r="Y304" s="10"/>
      <c r="Z304" s="10"/>
      <c r="AA304" s="10"/>
      <c r="AB304" s="10"/>
      <c r="AC304" s="10"/>
    </row>
    <row r="305" s="2" customFormat="1" spans="1:29">
      <c r="A305" s="10"/>
      <c r="B305" s="23"/>
      <c r="C305" s="28"/>
      <c r="D305" s="29"/>
      <c r="E305" s="28"/>
      <c r="F305" s="12"/>
      <c r="G305" s="23"/>
      <c r="H305" s="31"/>
      <c r="I305" s="34"/>
      <c r="J305" s="34"/>
      <c r="K305" s="34"/>
      <c r="L305" s="34"/>
      <c r="M305" s="34"/>
      <c r="N305" s="34"/>
      <c r="O305" s="34"/>
      <c r="P305" s="34"/>
      <c r="Q305" s="34"/>
      <c r="R305" s="34"/>
      <c r="S305" s="12"/>
      <c r="T305" s="10"/>
      <c r="U305" s="10"/>
      <c r="V305" s="10"/>
      <c r="W305" s="23"/>
      <c r="X305" s="10"/>
      <c r="Y305" s="10"/>
      <c r="Z305" s="10"/>
      <c r="AA305" s="10"/>
      <c r="AB305" s="10"/>
      <c r="AC305" s="10"/>
    </row>
    <row r="306" s="2" customFormat="1" spans="1:29">
      <c r="A306" s="10"/>
      <c r="B306" s="23"/>
      <c r="C306" s="28"/>
      <c r="D306" s="29"/>
      <c r="E306" s="28"/>
      <c r="F306" s="12"/>
      <c r="G306" s="23"/>
      <c r="H306" s="31"/>
      <c r="I306" s="34"/>
      <c r="J306" s="34"/>
      <c r="K306" s="34"/>
      <c r="L306" s="34"/>
      <c r="M306" s="34"/>
      <c r="N306" s="34"/>
      <c r="O306" s="34"/>
      <c r="P306" s="34"/>
      <c r="Q306" s="34"/>
      <c r="R306" s="34"/>
      <c r="S306" s="12"/>
      <c r="T306" s="10"/>
      <c r="U306" s="10"/>
      <c r="V306" s="10"/>
      <c r="W306" s="23"/>
      <c r="X306" s="10"/>
      <c r="Y306" s="10"/>
      <c r="Z306" s="10"/>
      <c r="AA306" s="10"/>
      <c r="AB306" s="10"/>
      <c r="AC306" s="10"/>
    </row>
    <row r="307" s="2" customFormat="1" spans="1:29">
      <c r="A307" s="10"/>
      <c r="B307" s="23"/>
      <c r="C307" s="28"/>
      <c r="D307" s="29"/>
      <c r="E307" s="28"/>
      <c r="F307" s="12"/>
      <c r="G307" s="23"/>
      <c r="H307" s="31"/>
      <c r="I307" s="34"/>
      <c r="J307" s="34"/>
      <c r="K307" s="34"/>
      <c r="L307" s="34"/>
      <c r="M307" s="34"/>
      <c r="N307" s="34"/>
      <c r="O307" s="34"/>
      <c r="P307" s="34"/>
      <c r="Q307" s="34"/>
      <c r="R307" s="34"/>
      <c r="S307" s="12"/>
      <c r="T307" s="10"/>
      <c r="U307" s="10"/>
      <c r="V307" s="10"/>
      <c r="W307" s="23"/>
      <c r="X307" s="10"/>
      <c r="Y307" s="10"/>
      <c r="Z307" s="10"/>
      <c r="AA307" s="10"/>
      <c r="AB307" s="10"/>
      <c r="AC307" s="10"/>
    </row>
    <row r="308" s="2" customFormat="1" spans="1:29">
      <c r="A308" s="10"/>
      <c r="B308" s="23"/>
      <c r="C308" s="28"/>
      <c r="D308" s="29"/>
      <c r="E308" s="28"/>
      <c r="F308" s="12"/>
      <c r="G308" s="23"/>
      <c r="H308" s="31"/>
      <c r="I308" s="34"/>
      <c r="J308" s="34"/>
      <c r="K308" s="34"/>
      <c r="L308" s="34"/>
      <c r="M308" s="34"/>
      <c r="N308" s="34"/>
      <c r="O308" s="34"/>
      <c r="P308" s="34"/>
      <c r="Q308" s="34"/>
      <c r="R308" s="34"/>
      <c r="S308" s="12"/>
      <c r="T308" s="10"/>
      <c r="U308" s="10"/>
      <c r="V308" s="10"/>
      <c r="W308" s="23"/>
      <c r="X308" s="10"/>
      <c r="Y308" s="10"/>
      <c r="Z308" s="10"/>
      <c r="AA308" s="10"/>
      <c r="AB308" s="10"/>
      <c r="AC308" s="10"/>
    </row>
    <row r="309" s="2" customFormat="1" spans="1:29">
      <c r="A309" s="10"/>
      <c r="B309" s="23"/>
      <c r="C309" s="28"/>
      <c r="D309" s="29"/>
      <c r="E309" s="28"/>
      <c r="F309" s="12"/>
      <c r="G309" s="23"/>
      <c r="H309" s="31"/>
      <c r="I309" s="34"/>
      <c r="J309" s="34"/>
      <c r="K309" s="34"/>
      <c r="L309" s="34"/>
      <c r="M309" s="34"/>
      <c r="N309" s="34"/>
      <c r="O309" s="34"/>
      <c r="P309" s="34"/>
      <c r="Q309" s="34"/>
      <c r="R309" s="34"/>
      <c r="S309" s="12"/>
      <c r="T309" s="10"/>
      <c r="U309" s="10"/>
      <c r="V309" s="10"/>
      <c r="W309" s="23"/>
      <c r="X309" s="10"/>
      <c r="Y309" s="10"/>
      <c r="Z309" s="10"/>
      <c r="AA309" s="10"/>
      <c r="AB309" s="10"/>
      <c r="AC309" s="10"/>
    </row>
    <row r="310" s="2" customFormat="1" spans="1:29">
      <c r="A310" s="10"/>
      <c r="B310" s="23"/>
      <c r="C310" s="28"/>
      <c r="D310" s="29"/>
      <c r="E310" s="28"/>
      <c r="F310" s="12"/>
      <c r="G310" s="23"/>
      <c r="H310" s="31"/>
      <c r="I310" s="34"/>
      <c r="J310" s="34"/>
      <c r="K310" s="34"/>
      <c r="L310" s="34"/>
      <c r="M310" s="34"/>
      <c r="N310" s="34"/>
      <c r="O310" s="34"/>
      <c r="P310" s="34"/>
      <c r="Q310" s="34"/>
      <c r="R310" s="34"/>
      <c r="S310" s="12"/>
      <c r="T310" s="10"/>
      <c r="U310" s="10"/>
      <c r="V310" s="10"/>
      <c r="W310" s="23"/>
      <c r="X310" s="10"/>
      <c r="Y310" s="10"/>
      <c r="Z310" s="10"/>
      <c r="AA310" s="10"/>
      <c r="AB310" s="10"/>
      <c r="AC310" s="10"/>
    </row>
    <row r="311" s="2" customFormat="1" spans="1:29">
      <c r="A311" s="10"/>
      <c r="B311" s="23"/>
      <c r="C311" s="28"/>
      <c r="D311" s="29"/>
      <c r="E311" s="28"/>
      <c r="F311" s="12"/>
      <c r="G311" s="23"/>
      <c r="H311" s="31"/>
      <c r="I311" s="34"/>
      <c r="J311" s="34"/>
      <c r="K311" s="34"/>
      <c r="L311" s="34"/>
      <c r="M311" s="34"/>
      <c r="N311" s="34"/>
      <c r="O311" s="34"/>
      <c r="P311" s="34"/>
      <c r="Q311" s="34"/>
      <c r="R311" s="34"/>
      <c r="S311" s="12"/>
      <c r="T311" s="10"/>
      <c r="U311" s="10"/>
      <c r="V311" s="10"/>
      <c r="W311" s="23"/>
      <c r="X311" s="10"/>
      <c r="Y311" s="10"/>
      <c r="Z311" s="10"/>
      <c r="AA311" s="10"/>
      <c r="AB311" s="10"/>
      <c r="AC311" s="10"/>
    </row>
    <row r="312" s="2" customFormat="1" spans="1:29">
      <c r="A312" s="10"/>
      <c r="B312" s="23"/>
      <c r="C312" s="28"/>
      <c r="D312" s="29"/>
      <c r="E312" s="28"/>
      <c r="F312" s="12"/>
      <c r="G312" s="23"/>
      <c r="H312" s="31"/>
      <c r="I312" s="34"/>
      <c r="J312" s="34"/>
      <c r="K312" s="34"/>
      <c r="L312" s="34"/>
      <c r="M312" s="34"/>
      <c r="N312" s="34"/>
      <c r="O312" s="34"/>
      <c r="P312" s="34"/>
      <c r="Q312" s="34"/>
      <c r="R312" s="34"/>
      <c r="S312" s="12"/>
      <c r="T312" s="10"/>
      <c r="U312" s="10"/>
      <c r="V312" s="10"/>
      <c r="W312" s="23"/>
      <c r="X312" s="10"/>
      <c r="Y312" s="10"/>
      <c r="Z312" s="10"/>
      <c r="AA312" s="10"/>
      <c r="AB312" s="10"/>
      <c r="AC312" s="10"/>
    </row>
    <row r="313" s="2" customFormat="1" spans="1:29">
      <c r="A313" s="10"/>
      <c r="B313" s="23"/>
      <c r="C313" s="28"/>
      <c r="D313" s="29"/>
      <c r="E313" s="28"/>
      <c r="F313" s="35"/>
      <c r="G313" s="23"/>
      <c r="H313" s="31"/>
      <c r="I313" s="34"/>
      <c r="J313" s="34"/>
      <c r="K313" s="34"/>
      <c r="L313" s="34"/>
      <c r="M313" s="34"/>
      <c r="N313" s="34"/>
      <c r="O313" s="34"/>
      <c r="P313" s="34"/>
      <c r="Q313" s="34"/>
      <c r="R313" s="34"/>
      <c r="S313" s="12"/>
      <c r="T313" s="10"/>
      <c r="U313" s="10"/>
      <c r="V313" s="10"/>
      <c r="W313" s="23"/>
      <c r="X313" s="10"/>
      <c r="Y313" s="10"/>
      <c r="Z313" s="10"/>
      <c r="AA313" s="10"/>
      <c r="AB313" s="10"/>
      <c r="AC313" s="10"/>
    </row>
    <row r="314" s="2" customFormat="1" spans="1:29">
      <c r="A314" s="10"/>
      <c r="B314" s="23"/>
      <c r="C314" s="28"/>
      <c r="D314" s="29"/>
      <c r="E314" s="28"/>
      <c r="F314" s="35"/>
      <c r="G314" s="23"/>
      <c r="H314" s="31"/>
      <c r="I314" s="34"/>
      <c r="J314" s="34"/>
      <c r="K314" s="34"/>
      <c r="L314" s="34"/>
      <c r="M314" s="34"/>
      <c r="N314" s="34"/>
      <c r="O314" s="34"/>
      <c r="P314" s="34"/>
      <c r="Q314" s="34"/>
      <c r="R314" s="34"/>
      <c r="S314" s="35"/>
      <c r="T314" s="10"/>
      <c r="U314" s="10"/>
      <c r="V314" s="10"/>
      <c r="W314" s="23"/>
      <c r="X314" s="10"/>
      <c r="Y314" s="10"/>
      <c r="Z314" s="10"/>
      <c r="AA314" s="10"/>
      <c r="AB314" s="10"/>
      <c r="AC314" s="10"/>
    </row>
    <row r="315" s="2" customFormat="1" spans="1:29">
      <c r="A315" s="10"/>
      <c r="B315" s="23"/>
      <c r="C315" s="28"/>
      <c r="D315" s="29"/>
      <c r="E315" s="10"/>
      <c r="F315" s="35"/>
      <c r="G315" s="23"/>
      <c r="H315" s="17"/>
      <c r="I315" s="34"/>
      <c r="J315" s="34"/>
      <c r="K315" s="34"/>
      <c r="L315" s="34"/>
      <c r="M315" s="34"/>
      <c r="N315" s="34"/>
      <c r="O315" s="34"/>
      <c r="P315" s="34"/>
      <c r="Q315" s="34"/>
      <c r="R315" s="34"/>
      <c r="S315" s="12"/>
      <c r="T315" s="10"/>
      <c r="U315" s="10"/>
      <c r="V315" s="10"/>
      <c r="W315" s="23"/>
      <c r="X315" s="10"/>
      <c r="Y315" s="10"/>
      <c r="Z315" s="10"/>
      <c r="AA315" s="10"/>
      <c r="AB315" s="10"/>
      <c r="AC315" s="10"/>
    </row>
    <row r="316" s="2" customFormat="1" spans="1:29">
      <c r="A316" s="10"/>
      <c r="B316" s="23"/>
      <c r="C316" s="28"/>
      <c r="D316" s="29"/>
      <c r="E316" s="10"/>
      <c r="F316" s="35"/>
      <c r="G316" s="23"/>
      <c r="H316" s="17"/>
      <c r="I316" s="34"/>
      <c r="J316" s="34"/>
      <c r="K316" s="34"/>
      <c r="L316" s="34"/>
      <c r="M316" s="34"/>
      <c r="N316" s="34"/>
      <c r="O316" s="34"/>
      <c r="P316" s="34"/>
      <c r="Q316" s="34"/>
      <c r="R316" s="34"/>
      <c r="S316" s="12"/>
      <c r="T316" s="10"/>
      <c r="U316" s="10"/>
      <c r="V316" s="10"/>
      <c r="W316" s="23"/>
      <c r="X316" s="10"/>
      <c r="Y316" s="10"/>
      <c r="Z316" s="10"/>
      <c r="AA316" s="10"/>
      <c r="AB316" s="10"/>
      <c r="AC316" s="10"/>
    </row>
    <row r="317" s="2" customFormat="1" spans="1:29">
      <c r="A317" s="10"/>
      <c r="B317" s="23"/>
      <c r="C317" s="28"/>
      <c r="D317" s="29"/>
      <c r="E317" s="10"/>
      <c r="F317" s="35"/>
      <c r="G317" s="23"/>
      <c r="H317" s="17"/>
      <c r="I317" s="34"/>
      <c r="J317" s="34"/>
      <c r="K317" s="34"/>
      <c r="L317" s="34"/>
      <c r="M317" s="34"/>
      <c r="N317" s="34"/>
      <c r="O317" s="34"/>
      <c r="P317" s="34"/>
      <c r="Q317" s="34"/>
      <c r="R317" s="34"/>
      <c r="S317" s="12"/>
      <c r="T317" s="10"/>
      <c r="U317" s="10"/>
      <c r="V317" s="10"/>
      <c r="W317" s="23"/>
      <c r="X317" s="10"/>
      <c r="Y317" s="10"/>
      <c r="Z317" s="10"/>
      <c r="AA317" s="10"/>
      <c r="AB317" s="10"/>
      <c r="AC317" s="10"/>
    </row>
    <row r="318" s="2" customFormat="1" spans="1:29">
      <c r="A318" s="10"/>
      <c r="B318" s="23"/>
      <c r="C318" s="28"/>
      <c r="D318" s="29"/>
      <c r="E318" s="23"/>
      <c r="F318" s="35"/>
      <c r="G318" s="23"/>
      <c r="H318" s="36"/>
      <c r="I318" s="34"/>
      <c r="J318" s="34"/>
      <c r="K318" s="34"/>
      <c r="L318" s="34"/>
      <c r="M318" s="34"/>
      <c r="N318" s="34"/>
      <c r="O318" s="34"/>
      <c r="P318" s="34"/>
      <c r="Q318" s="34"/>
      <c r="R318" s="34"/>
      <c r="S318" s="12"/>
      <c r="T318" s="10"/>
      <c r="U318" s="10"/>
      <c r="V318" s="10"/>
      <c r="W318" s="23"/>
      <c r="X318" s="10"/>
      <c r="Y318" s="10"/>
      <c r="Z318" s="10"/>
      <c r="AA318" s="10"/>
      <c r="AB318" s="10"/>
      <c r="AC318" s="10"/>
    </row>
    <row r="319" s="2" customFormat="1" spans="1:29">
      <c r="A319" s="10"/>
      <c r="B319" s="23"/>
      <c r="C319" s="28"/>
      <c r="D319" s="29"/>
      <c r="E319" s="23"/>
      <c r="F319" s="35"/>
      <c r="G319" s="23"/>
      <c r="H319" s="36"/>
      <c r="I319" s="34"/>
      <c r="J319" s="34"/>
      <c r="K319" s="34"/>
      <c r="L319" s="34"/>
      <c r="M319" s="34"/>
      <c r="N319" s="34"/>
      <c r="O319" s="34"/>
      <c r="P319" s="34"/>
      <c r="Q319" s="34"/>
      <c r="R319" s="34"/>
      <c r="S319" s="12"/>
      <c r="T319" s="10"/>
      <c r="U319" s="10"/>
      <c r="V319" s="10"/>
      <c r="W319" s="23"/>
      <c r="X319" s="10"/>
      <c r="Y319" s="10"/>
      <c r="Z319" s="10"/>
      <c r="AA319" s="10"/>
      <c r="AB319" s="10"/>
      <c r="AC319" s="10"/>
    </row>
    <row r="320" s="2" customFormat="1" spans="1:29">
      <c r="A320" s="10"/>
      <c r="B320" s="23"/>
      <c r="C320" s="28"/>
      <c r="D320" s="29"/>
      <c r="E320" s="23"/>
      <c r="F320" s="35"/>
      <c r="G320" s="23"/>
      <c r="H320" s="36"/>
      <c r="I320" s="34"/>
      <c r="J320" s="34"/>
      <c r="K320" s="34"/>
      <c r="L320" s="34"/>
      <c r="M320" s="34"/>
      <c r="N320" s="34"/>
      <c r="O320" s="34"/>
      <c r="P320" s="34"/>
      <c r="Q320" s="34"/>
      <c r="R320" s="34"/>
      <c r="S320" s="12"/>
      <c r="T320" s="10"/>
      <c r="U320" s="10"/>
      <c r="V320" s="10"/>
      <c r="W320" s="23"/>
      <c r="X320" s="10"/>
      <c r="Y320" s="10"/>
      <c r="Z320" s="10"/>
      <c r="AA320" s="10"/>
      <c r="AB320" s="10"/>
      <c r="AC320" s="10"/>
    </row>
    <row r="321" s="2" customFormat="1" spans="1:29">
      <c r="A321" s="10"/>
      <c r="B321" s="23"/>
      <c r="C321" s="28"/>
      <c r="D321" s="29"/>
      <c r="E321" s="23"/>
      <c r="F321" s="35"/>
      <c r="G321" s="23"/>
      <c r="H321" s="36"/>
      <c r="I321" s="34"/>
      <c r="J321" s="34"/>
      <c r="K321" s="34"/>
      <c r="L321" s="34"/>
      <c r="M321" s="34"/>
      <c r="N321" s="34"/>
      <c r="O321" s="34"/>
      <c r="P321" s="34"/>
      <c r="Q321" s="34"/>
      <c r="R321" s="34"/>
      <c r="S321" s="12"/>
      <c r="T321" s="10"/>
      <c r="U321" s="10"/>
      <c r="V321" s="10"/>
      <c r="W321" s="23"/>
      <c r="X321" s="10"/>
      <c r="Y321" s="10"/>
      <c r="Z321" s="10"/>
      <c r="AA321" s="10"/>
      <c r="AB321" s="10"/>
      <c r="AC321" s="10"/>
    </row>
    <row r="322" s="2" customFormat="1" spans="1:29">
      <c r="A322" s="10"/>
      <c r="B322" s="23"/>
      <c r="C322" s="28"/>
      <c r="D322" s="29"/>
      <c r="E322" s="23"/>
      <c r="F322" s="35"/>
      <c r="G322" s="23"/>
      <c r="H322" s="36"/>
      <c r="I322" s="34"/>
      <c r="J322" s="34"/>
      <c r="K322" s="34"/>
      <c r="L322" s="34"/>
      <c r="M322" s="34"/>
      <c r="N322" s="34"/>
      <c r="O322" s="34"/>
      <c r="P322" s="34"/>
      <c r="Q322" s="34"/>
      <c r="R322" s="34"/>
      <c r="S322" s="12"/>
      <c r="T322" s="10"/>
      <c r="U322" s="10"/>
      <c r="V322" s="10"/>
      <c r="W322" s="23"/>
      <c r="X322" s="10"/>
      <c r="Y322" s="10"/>
      <c r="Z322" s="10"/>
      <c r="AA322" s="10"/>
      <c r="AB322" s="10"/>
      <c r="AC322" s="10"/>
    </row>
    <row r="323" s="2" customFormat="1" spans="1:29">
      <c r="A323" s="10"/>
      <c r="B323" s="23"/>
      <c r="C323" s="28"/>
      <c r="D323" s="29"/>
      <c r="E323" s="23"/>
      <c r="F323" s="35"/>
      <c r="G323" s="23"/>
      <c r="H323" s="36"/>
      <c r="I323" s="34"/>
      <c r="J323" s="34"/>
      <c r="K323" s="34"/>
      <c r="L323" s="34"/>
      <c r="M323" s="34"/>
      <c r="N323" s="34"/>
      <c r="O323" s="34"/>
      <c r="P323" s="34"/>
      <c r="Q323" s="34"/>
      <c r="R323" s="34"/>
      <c r="S323" s="12"/>
      <c r="T323" s="10"/>
      <c r="U323" s="10"/>
      <c r="V323" s="10"/>
      <c r="W323" s="23"/>
      <c r="X323" s="10"/>
      <c r="Y323" s="10"/>
      <c r="Z323" s="10"/>
      <c r="AA323" s="10"/>
      <c r="AB323" s="10"/>
      <c r="AC323" s="10"/>
    </row>
    <row r="324" s="2" customFormat="1" spans="1:29">
      <c r="A324" s="10"/>
      <c r="B324" s="23"/>
      <c r="C324" s="28"/>
      <c r="D324" s="29"/>
      <c r="E324" s="23"/>
      <c r="F324" s="35"/>
      <c r="G324" s="23"/>
      <c r="H324" s="36"/>
      <c r="I324" s="34"/>
      <c r="J324" s="34"/>
      <c r="K324" s="34"/>
      <c r="L324" s="34"/>
      <c r="M324" s="34"/>
      <c r="N324" s="34"/>
      <c r="O324" s="34"/>
      <c r="P324" s="34"/>
      <c r="Q324" s="34"/>
      <c r="R324" s="34"/>
      <c r="S324" s="12"/>
      <c r="T324" s="10"/>
      <c r="U324" s="10"/>
      <c r="V324" s="10"/>
      <c r="W324" s="23"/>
      <c r="X324" s="10"/>
      <c r="Y324" s="10"/>
      <c r="Z324" s="10"/>
      <c r="AA324" s="10"/>
      <c r="AB324" s="10"/>
      <c r="AC324" s="10"/>
    </row>
    <row r="325" s="2" customFormat="1" spans="1:29">
      <c r="A325" s="10"/>
      <c r="B325" s="23"/>
      <c r="C325" s="28"/>
      <c r="D325" s="23"/>
      <c r="E325" s="10"/>
      <c r="F325" s="35"/>
      <c r="G325" s="23"/>
      <c r="H325" s="36"/>
      <c r="I325" s="34"/>
      <c r="J325" s="34"/>
      <c r="K325" s="34"/>
      <c r="L325" s="34"/>
      <c r="M325" s="34"/>
      <c r="N325" s="34"/>
      <c r="O325" s="34"/>
      <c r="P325" s="34"/>
      <c r="Q325" s="34"/>
      <c r="R325" s="34"/>
      <c r="S325" s="12"/>
      <c r="T325" s="10"/>
      <c r="U325" s="10"/>
      <c r="V325" s="10"/>
      <c r="W325" s="23"/>
      <c r="X325" s="10"/>
      <c r="Y325" s="10"/>
      <c r="Z325" s="10"/>
      <c r="AA325" s="10"/>
      <c r="AB325" s="10"/>
      <c r="AC325" s="10"/>
    </row>
    <row r="326" s="2" customFormat="1" spans="1:29">
      <c r="A326" s="10"/>
      <c r="B326" s="10"/>
      <c r="C326" s="28"/>
      <c r="D326" s="23"/>
      <c r="E326" s="23"/>
      <c r="F326" s="35"/>
      <c r="G326" s="23"/>
      <c r="H326" s="31"/>
      <c r="I326" s="34"/>
      <c r="J326" s="34"/>
      <c r="K326" s="34"/>
      <c r="L326" s="34"/>
      <c r="M326" s="34"/>
      <c r="N326" s="34"/>
      <c r="O326" s="34"/>
      <c r="P326" s="34"/>
      <c r="Q326" s="34"/>
      <c r="R326" s="34"/>
      <c r="S326" s="12"/>
      <c r="T326" s="10"/>
      <c r="U326" s="10"/>
      <c r="V326" s="10"/>
      <c r="W326" s="23"/>
      <c r="X326" s="10"/>
      <c r="Y326" s="10"/>
      <c r="Z326" s="10"/>
      <c r="AA326" s="10"/>
      <c r="AB326" s="10"/>
      <c r="AC326" s="10"/>
    </row>
    <row r="327" s="2" customFormat="1" spans="1:29">
      <c r="A327" s="10"/>
      <c r="B327" s="10"/>
      <c r="C327" s="28"/>
      <c r="D327" s="23"/>
      <c r="E327" s="23"/>
      <c r="F327" s="35"/>
      <c r="G327" s="23"/>
      <c r="H327" s="31"/>
      <c r="I327" s="34"/>
      <c r="J327" s="34"/>
      <c r="K327" s="34"/>
      <c r="L327" s="34"/>
      <c r="M327" s="34"/>
      <c r="N327" s="34"/>
      <c r="O327" s="34"/>
      <c r="P327" s="34"/>
      <c r="Q327" s="34"/>
      <c r="R327" s="34"/>
      <c r="S327" s="12"/>
      <c r="T327" s="10"/>
      <c r="U327" s="10"/>
      <c r="V327" s="10"/>
      <c r="W327" s="23"/>
      <c r="X327" s="10"/>
      <c r="Y327" s="10"/>
      <c r="Z327" s="10"/>
      <c r="AA327" s="10"/>
      <c r="AB327" s="10"/>
      <c r="AC327" s="10"/>
    </row>
    <row r="328" s="2" customFormat="1" spans="1:29">
      <c r="A328" s="10"/>
      <c r="B328" s="10"/>
      <c r="C328" s="28"/>
      <c r="D328" s="23"/>
      <c r="E328" s="23"/>
      <c r="F328" s="35"/>
      <c r="G328" s="23"/>
      <c r="H328" s="31"/>
      <c r="I328" s="34"/>
      <c r="J328" s="34"/>
      <c r="K328" s="34"/>
      <c r="L328" s="34"/>
      <c r="M328" s="34"/>
      <c r="N328" s="34"/>
      <c r="O328" s="34"/>
      <c r="P328" s="34"/>
      <c r="Q328" s="34"/>
      <c r="R328" s="34"/>
      <c r="S328" s="12"/>
      <c r="T328" s="10"/>
      <c r="U328" s="10"/>
      <c r="V328" s="10"/>
      <c r="W328" s="23"/>
      <c r="X328" s="10"/>
      <c r="Y328" s="10"/>
      <c r="Z328" s="10"/>
      <c r="AA328" s="10"/>
      <c r="AB328" s="10"/>
      <c r="AC328" s="10"/>
    </row>
    <row r="329" s="2" customFormat="1" spans="1:29">
      <c r="A329" s="10"/>
      <c r="B329" s="10"/>
      <c r="C329" s="28"/>
      <c r="D329" s="23"/>
      <c r="E329" s="23"/>
      <c r="F329" s="35"/>
      <c r="G329" s="23"/>
      <c r="H329" s="31"/>
      <c r="I329" s="34"/>
      <c r="J329" s="34"/>
      <c r="K329" s="34"/>
      <c r="L329" s="34"/>
      <c r="M329" s="34"/>
      <c r="N329" s="34"/>
      <c r="O329" s="34"/>
      <c r="P329" s="34"/>
      <c r="Q329" s="34"/>
      <c r="R329" s="34"/>
      <c r="S329" s="12"/>
      <c r="T329" s="10"/>
      <c r="U329" s="10"/>
      <c r="V329" s="10"/>
      <c r="W329" s="23"/>
      <c r="X329" s="10"/>
      <c r="Y329" s="10"/>
      <c r="Z329" s="10"/>
      <c r="AA329" s="10"/>
      <c r="AB329" s="10"/>
      <c r="AC329" s="10"/>
    </row>
    <row r="330" s="2" customFormat="1" spans="1:29">
      <c r="A330" s="10"/>
      <c r="B330" s="10"/>
      <c r="C330" s="28"/>
      <c r="D330" s="23"/>
      <c r="E330" s="23"/>
      <c r="F330" s="35"/>
      <c r="G330" s="23"/>
      <c r="H330" s="31"/>
      <c r="I330" s="34"/>
      <c r="J330" s="34"/>
      <c r="K330" s="34"/>
      <c r="L330" s="34"/>
      <c r="M330" s="34"/>
      <c r="N330" s="34"/>
      <c r="O330" s="34"/>
      <c r="P330" s="34"/>
      <c r="Q330" s="34"/>
      <c r="R330" s="34"/>
      <c r="S330" s="12"/>
      <c r="T330" s="10"/>
      <c r="U330" s="10"/>
      <c r="V330" s="10"/>
      <c r="W330" s="23"/>
      <c r="X330" s="10"/>
      <c r="Y330" s="10"/>
      <c r="Z330" s="10"/>
      <c r="AA330" s="10"/>
      <c r="AB330" s="10"/>
      <c r="AC330" s="10"/>
    </row>
    <row r="331" s="2" customFormat="1" spans="1:29">
      <c r="A331" s="10"/>
      <c r="B331" s="10"/>
      <c r="C331" s="28"/>
      <c r="D331" s="23"/>
      <c r="E331" s="23"/>
      <c r="F331" s="35"/>
      <c r="G331" s="23"/>
      <c r="H331" s="31"/>
      <c r="I331" s="34"/>
      <c r="J331" s="34"/>
      <c r="K331" s="34"/>
      <c r="L331" s="34"/>
      <c r="M331" s="34"/>
      <c r="N331" s="34"/>
      <c r="O331" s="34"/>
      <c r="P331" s="34"/>
      <c r="Q331" s="34"/>
      <c r="R331" s="34"/>
      <c r="S331" s="12"/>
      <c r="T331" s="10"/>
      <c r="U331" s="10"/>
      <c r="V331" s="10"/>
      <c r="W331" s="23"/>
      <c r="X331" s="10"/>
      <c r="Y331" s="10"/>
      <c r="Z331" s="10"/>
      <c r="AA331" s="10"/>
      <c r="AB331" s="10"/>
      <c r="AC331" s="10"/>
    </row>
    <row r="332" s="2" customFormat="1" spans="1:29">
      <c r="A332" s="10"/>
      <c r="B332" s="10"/>
      <c r="C332" s="28"/>
      <c r="D332" s="23"/>
      <c r="E332" s="23"/>
      <c r="F332" s="35"/>
      <c r="G332" s="23"/>
      <c r="H332" s="31"/>
      <c r="I332" s="34"/>
      <c r="J332" s="34"/>
      <c r="K332" s="34"/>
      <c r="L332" s="34"/>
      <c r="M332" s="34"/>
      <c r="N332" s="34"/>
      <c r="O332" s="34"/>
      <c r="P332" s="34"/>
      <c r="Q332" s="34"/>
      <c r="R332" s="34"/>
      <c r="S332" s="12"/>
      <c r="T332" s="10"/>
      <c r="U332" s="10"/>
      <c r="V332" s="10"/>
      <c r="W332" s="23"/>
      <c r="X332" s="10"/>
      <c r="Y332" s="10"/>
      <c r="Z332" s="10"/>
      <c r="AA332" s="10"/>
      <c r="AB332" s="10"/>
      <c r="AC332" s="10"/>
    </row>
    <row r="333" s="2" customFormat="1" spans="1:29">
      <c r="A333" s="10"/>
      <c r="B333" s="10"/>
      <c r="C333" s="28"/>
      <c r="D333" s="23"/>
      <c r="E333" s="23"/>
      <c r="F333" s="35"/>
      <c r="G333" s="23"/>
      <c r="H333" s="31"/>
      <c r="I333" s="34"/>
      <c r="J333" s="34"/>
      <c r="K333" s="34"/>
      <c r="L333" s="34"/>
      <c r="M333" s="34"/>
      <c r="N333" s="34"/>
      <c r="O333" s="34"/>
      <c r="P333" s="34"/>
      <c r="Q333" s="34"/>
      <c r="R333" s="34"/>
      <c r="S333" s="12"/>
      <c r="T333" s="10"/>
      <c r="U333" s="10"/>
      <c r="V333" s="10"/>
      <c r="W333" s="23"/>
      <c r="X333" s="10"/>
      <c r="Y333" s="10"/>
      <c r="Z333" s="10"/>
      <c r="AA333" s="10"/>
      <c r="AB333" s="10"/>
      <c r="AC333" s="10"/>
    </row>
    <row r="334" s="2" customFormat="1" spans="1:29">
      <c r="A334" s="10"/>
      <c r="B334" s="23"/>
      <c r="C334" s="29"/>
      <c r="D334" s="23"/>
      <c r="E334" s="23"/>
      <c r="F334" s="35"/>
      <c r="G334" s="23"/>
      <c r="H334" s="32"/>
      <c r="I334" s="34"/>
      <c r="J334" s="34"/>
      <c r="K334" s="34"/>
      <c r="L334" s="34"/>
      <c r="M334" s="34"/>
      <c r="N334" s="34"/>
      <c r="O334" s="34"/>
      <c r="P334" s="34"/>
      <c r="Q334" s="34"/>
      <c r="R334" s="34"/>
      <c r="S334" s="35"/>
      <c r="T334" s="10"/>
      <c r="U334" s="10"/>
      <c r="V334" s="10"/>
      <c r="W334" s="23"/>
      <c r="X334" s="10"/>
      <c r="Y334" s="10"/>
      <c r="Z334" s="10"/>
      <c r="AA334" s="10"/>
      <c r="AB334" s="10"/>
      <c r="AC334" s="10"/>
    </row>
    <row r="335" s="2" customFormat="1" spans="1:29">
      <c r="A335" s="10"/>
      <c r="B335" s="23"/>
      <c r="C335" s="29"/>
      <c r="D335" s="23"/>
      <c r="E335" s="23"/>
      <c r="F335" s="35"/>
      <c r="G335" s="23"/>
      <c r="H335" s="32"/>
      <c r="I335" s="34"/>
      <c r="J335" s="34"/>
      <c r="K335" s="34"/>
      <c r="L335" s="34"/>
      <c r="M335" s="34"/>
      <c r="N335" s="34"/>
      <c r="O335" s="34"/>
      <c r="P335" s="34"/>
      <c r="Q335" s="34"/>
      <c r="R335" s="34"/>
      <c r="S335" s="12"/>
      <c r="T335" s="10"/>
      <c r="U335" s="10"/>
      <c r="V335" s="10"/>
      <c r="W335" s="23"/>
      <c r="X335" s="10"/>
      <c r="Y335" s="10"/>
      <c r="Z335" s="10"/>
      <c r="AA335" s="10"/>
      <c r="AB335" s="10"/>
      <c r="AC335" s="10"/>
    </row>
    <row r="336" s="2" customFormat="1" spans="1:29">
      <c r="A336" s="10"/>
      <c r="B336" s="23"/>
      <c r="C336" s="29"/>
      <c r="D336" s="23"/>
      <c r="E336" s="23"/>
      <c r="F336" s="35"/>
      <c r="G336" s="23"/>
      <c r="H336" s="32"/>
      <c r="I336" s="34"/>
      <c r="J336" s="34"/>
      <c r="K336" s="34"/>
      <c r="L336" s="34"/>
      <c r="M336" s="34"/>
      <c r="N336" s="34"/>
      <c r="O336" s="34"/>
      <c r="P336" s="34"/>
      <c r="Q336" s="34"/>
      <c r="R336" s="34"/>
      <c r="S336" s="12"/>
      <c r="T336" s="10"/>
      <c r="U336" s="10"/>
      <c r="V336" s="10"/>
      <c r="W336" s="23"/>
      <c r="X336" s="10"/>
      <c r="Y336" s="10"/>
      <c r="Z336" s="10"/>
      <c r="AA336" s="10"/>
      <c r="AB336" s="10"/>
      <c r="AC336" s="10"/>
    </row>
    <row r="337" s="2" customFormat="1" spans="1:29">
      <c r="A337" s="10"/>
      <c r="B337" s="23"/>
      <c r="C337" s="29"/>
      <c r="D337" s="23"/>
      <c r="E337" s="23"/>
      <c r="F337" s="35"/>
      <c r="G337" s="23"/>
      <c r="H337" s="32"/>
      <c r="I337" s="34"/>
      <c r="J337" s="34"/>
      <c r="K337" s="34"/>
      <c r="L337" s="34"/>
      <c r="M337" s="34"/>
      <c r="N337" s="34"/>
      <c r="O337" s="34"/>
      <c r="P337" s="34"/>
      <c r="Q337" s="34"/>
      <c r="R337" s="34"/>
      <c r="S337" s="12"/>
      <c r="T337" s="10"/>
      <c r="U337" s="10"/>
      <c r="V337" s="10"/>
      <c r="W337" s="23"/>
      <c r="X337" s="10"/>
      <c r="Y337" s="10"/>
      <c r="Z337" s="10"/>
      <c r="AA337" s="10"/>
      <c r="AB337" s="10"/>
      <c r="AC337" s="10"/>
    </row>
    <row r="338" s="2" customFormat="1" spans="1:29">
      <c r="A338" s="10"/>
      <c r="B338" s="23"/>
      <c r="C338" s="29"/>
      <c r="D338" s="23"/>
      <c r="E338" s="23"/>
      <c r="F338" s="35"/>
      <c r="G338" s="23"/>
      <c r="H338" s="32"/>
      <c r="I338" s="34"/>
      <c r="J338" s="34"/>
      <c r="K338" s="34"/>
      <c r="L338" s="34"/>
      <c r="M338" s="34"/>
      <c r="N338" s="34"/>
      <c r="O338" s="34"/>
      <c r="P338" s="34"/>
      <c r="Q338" s="34"/>
      <c r="R338" s="34"/>
      <c r="S338" s="12"/>
      <c r="T338" s="10"/>
      <c r="U338" s="10"/>
      <c r="V338" s="10"/>
      <c r="W338" s="23"/>
      <c r="X338" s="10"/>
      <c r="Y338" s="10"/>
      <c r="Z338" s="10"/>
      <c r="AA338" s="10"/>
      <c r="AB338" s="10"/>
      <c r="AC338" s="10"/>
    </row>
    <row r="339" s="2" customFormat="1" spans="1:29">
      <c r="A339" s="10"/>
      <c r="B339" s="23"/>
      <c r="C339" s="29"/>
      <c r="D339" s="23"/>
      <c r="E339" s="23"/>
      <c r="F339" s="35"/>
      <c r="G339" s="23"/>
      <c r="H339" s="32"/>
      <c r="I339" s="34"/>
      <c r="J339" s="34"/>
      <c r="K339" s="34"/>
      <c r="L339" s="34"/>
      <c r="M339" s="34"/>
      <c r="N339" s="34"/>
      <c r="O339" s="34"/>
      <c r="P339" s="34"/>
      <c r="Q339" s="34"/>
      <c r="R339" s="34"/>
      <c r="S339" s="12"/>
      <c r="T339" s="10"/>
      <c r="U339" s="10"/>
      <c r="V339" s="10"/>
      <c r="W339" s="23"/>
      <c r="X339" s="10"/>
      <c r="Y339" s="10"/>
      <c r="Z339" s="10"/>
      <c r="AA339" s="10"/>
      <c r="AB339" s="10"/>
      <c r="AC339" s="10"/>
    </row>
    <row r="340" s="2" customFormat="1" spans="1:29">
      <c r="A340" s="10"/>
      <c r="B340" s="23"/>
      <c r="C340" s="29"/>
      <c r="D340" s="23"/>
      <c r="E340" s="23"/>
      <c r="F340" s="35"/>
      <c r="G340" s="23"/>
      <c r="H340" s="32"/>
      <c r="I340" s="34"/>
      <c r="J340" s="34"/>
      <c r="K340" s="34"/>
      <c r="L340" s="34"/>
      <c r="M340" s="34"/>
      <c r="N340" s="34"/>
      <c r="O340" s="34"/>
      <c r="P340" s="34"/>
      <c r="Q340" s="34"/>
      <c r="R340" s="34"/>
      <c r="S340" s="12"/>
      <c r="T340" s="10"/>
      <c r="U340" s="10"/>
      <c r="V340" s="10"/>
      <c r="W340" s="23"/>
      <c r="X340" s="10"/>
      <c r="Y340" s="10"/>
      <c r="Z340" s="10"/>
      <c r="AA340" s="10"/>
      <c r="AB340" s="10"/>
      <c r="AC340" s="10"/>
    </row>
    <row r="341" s="2" customFormat="1" spans="1:29">
      <c r="A341" s="10"/>
      <c r="B341" s="23"/>
      <c r="C341" s="29"/>
      <c r="D341" s="23"/>
      <c r="E341" s="23"/>
      <c r="F341" s="35"/>
      <c r="G341" s="23"/>
      <c r="H341" s="32"/>
      <c r="I341" s="34"/>
      <c r="J341" s="34"/>
      <c r="K341" s="34"/>
      <c r="L341" s="34"/>
      <c r="M341" s="34"/>
      <c r="N341" s="34"/>
      <c r="O341" s="34"/>
      <c r="P341" s="34"/>
      <c r="Q341" s="34"/>
      <c r="R341" s="34"/>
      <c r="S341" s="12"/>
      <c r="T341" s="10"/>
      <c r="U341" s="10"/>
      <c r="V341" s="10"/>
      <c r="W341" s="23"/>
      <c r="X341" s="10"/>
      <c r="Y341" s="10"/>
      <c r="Z341" s="10"/>
      <c r="AA341" s="10"/>
      <c r="AB341" s="10"/>
      <c r="AC341" s="10"/>
    </row>
    <row r="342" s="2" customFormat="1" spans="1:29">
      <c r="A342" s="10"/>
      <c r="B342" s="23"/>
      <c r="C342" s="29"/>
      <c r="D342" s="23"/>
      <c r="E342" s="23"/>
      <c r="F342" s="35"/>
      <c r="G342" s="23"/>
      <c r="H342" s="32"/>
      <c r="I342" s="34"/>
      <c r="J342" s="34"/>
      <c r="K342" s="34"/>
      <c r="L342" s="34"/>
      <c r="M342" s="34"/>
      <c r="N342" s="34"/>
      <c r="O342" s="34"/>
      <c r="P342" s="34"/>
      <c r="Q342" s="34"/>
      <c r="R342" s="34"/>
      <c r="S342" s="12"/>
      <c r="T342" s="10"/>
      <c r="U342" s="10"/>
      <c r="V342" s="10"/>
      <c r="W342" s="23"/>
      <c r="X342" s="10"/>
      <c r="Y342" s="10"/>
      <c r="Z342" s="10"/>
      <c r="AA342" s="10"/>
      <c r="AB342" s="10"/>
      <c r="AC342" s="10"/>
    </row>
    <row r="343" s="2" customFormat="1" spans="1:29">
      <c r="A343" s="10"/>
      <c r="B343" s="23"/>
      <c r="C343" s="23"/>
      <c r="D343" s="23"/>
      <c r="E343" s="23"/>
      <c r="F343" s="35"/>
      <c r="G343" s="23"/>
      <c r="H343" s="36"/>
      <c r="I343" s="34"/>
      <c r="J343" s="34"/>
      <c r="K343" s="34"/>
      <c r="L343" s="34"/>
      <c r="M343" s="34"/>
      <c r="N343" s="34"/>
      <c r="O343" s="34"/>
      <c r="P343" s="34"/>
      <c r="Q343" s="34"/>
      <c r="R343" s="34"/>
      <c r="S343" s="35"/>
      <c r="T343" s="10"/>
      <c r="U343" s="10"/>
      <c r="V343" s="10"/>
      <c r="W343" s="23"/>
      <c r="X343" s="10"/>
      <c r="Y343" s="10"/>
      <c r="Z343" s="10"/>
      <c r="AA343" s="10"/>
      <c r="AB343" s="10"/>
      <c r="AC343" s="10"/>
    </row>
  </sheetData>
  <autoFilter xmlns:etc="http://www.wps.cn/officeDocument/2017/etCustomData" ref="A1:AD197" etc:filterBottomFollowUsedRange="0">
    <filterColumn colId="1">
      <customFilters>
        <customFilter operator="equal" val="环保工程投资估算"/>
      </customFilters>
    </filterColumn>
    <extLst/>
  </autoFilter>
  <mergeCells count="30">
    <mergeCell ref="H5:H6"/>
    <mergeCell ref="H7:H10"/>
    <mergeCell ref="H11:H21"/>
    <mergeCell ref="H22:H27"/>
    <mergeCell ref="H28:H39"/>
    <mergeCell ref="H40:H67"/>
    <mergeCell ref="H69:H71"/>
    <mergeCell ref="H72:H79"/>
    <mergeCell ref="H81:H85"/>
    <mergeCell ref="H86:H87"/>
    <mergeCell ref="H91:H101"/>
    <mergeCell ref="H102:H104"/>
    <mergeCell ref="H106:H110"/>
    <mergeCell ref="H111:H113"/>
    <mergeCell ref="H114:H121"/>
    <mergeCell ref="H122:H124"/>
    <mergeCell ref="H125:H127"/>
    <mergeCell ref="H128:H130"/>
    <mergeCell ref="H131:H143"/>
    <mergeCell ref="H146:H147"/>
    <mergeCell ref="H148:H151"/>
    <mergeCell ref="H153:H157"/>
    <mergeCell ref="H158:H161"/>
    <mergeCell ref="H162:H163"/>
    <mergeCell ref="H164:H166"/>
    <mergeCell ref="H169:H172"/>
    <mergeCell ref="H173:H180"/>
    <mergeCell ref="H181:H184"/>
    <mergeCell ref="H187:H188"/>
    <mergeCell ref="H189:H190"/>
  </mergeCells>
  <dataValidations count="2">
    <dataValidation type="list" allowBlank="1" showInputMessage="1" showErrorMessage="1" sqref="T2:T197 Y2:Y197">
      <formula1>"结构化数据,体数据,图件,文档"</formula1>
    </dataValidation>
    <dataValidation type="list" allowBlank="1" showInputMessage="1" showErrorMessage="1" sqref="V2:V197">
      <formula1>"气藏地质,气藏工程,钻井工程,采气工程,地面工程,安全环保,实例库,知识库"</formula1>
    </dataValidation>
  </dataValidations>
  <pageMargins left="0.75" right="0.75" top="1" bottom="1" header="0.5" footer="0.5"/>
  <headerFooter/>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AD343"/>
  <sheetViews>
    <sheetView zoomScale="130" zoomScaleNormal="130" workbookViewId="0">
      <pane ySplit="1" topLeftCell="A44" activePane="bottomLeft" state="frozen"/>
      <selection/>
      <selection pane="bottomLeft" activeCell="A1" sqref="$A1:$XFD3"/>
    </sheetView>
  </sheetViews>
  <sheetFormatPr defaultColWidth="9.06666666666667" defaultRowHeight="16.5"/>
  <cols>
    <col min="1" max="1" width="10.9416666666667" style="3" customWidth="1"/>
    <col min="2" max="2" width="13.75" style="3" customWidth="1"/>
    <col min="3" max="3" width="11.875" style="3" customWidth="1"/>
    <col min="4" max="4" width="14" style="3" customWidth="1"/>
    <col min="5" max="5" width="29.4" style="3" hidden="1" customWidth="1"/>
    <col min="6" max="6" width="11.25" style="3" hidden="1" customWidth="1"/>
    <col min="7" max="7" width="11.25" style="4" hidden="1" customWidth="1"/>
    <col min="8" max="8" width="18.125" style="4" customWidth="1"/>
    <col min="9" max="9" width="16.5" style="3" hidden="1" customWidth="1"/>
    <col min="10" max="10" width="21.875" style="3" hidden="1" customWidth="1"/>
    <col min="11" max="11" width="13.875" style="3" hidden="1" customWidth="1"/>
    <col min="12" max="18" width="11.25" style="3" hidden="1" customWidth="1"/>
    <col min="19" max="19" width="15.875" style="3" customWidth="1"/>
    <col min="20" max="20" width="13.375" style="4" customWidth="1"/>
    <col min="21" max="21" width="21.525" style="4" customWidth="1"/>
    <col min="22" max="22" width="12.625" style="4" customWidth="1"/>
    <col min="23" max="23" width="3.875" style="5" customWidth="1"/>
    <col min="24" max="24" width="23.375" style="4" customWidth="1"/>
    <col min="25" max="25" width="13.875" style="4" customWidth="1"/>
    <col min="26" max="26" width="17.125" style="4" customWidth="1"/>
    <col min="27" max="27" width="11.25" style="4" customWidth="1"/>
    <col min="28" max="28" width="27.375" style="4" customWidth="1"/>
    <col min="29" max="29" width="30.25" style="4" customWidth="1"/>
    <col min="30" max="30" width="29.625" customWidth="1"/>
  </cols>
  <sheetData>
    <row r="1" s="1" customFormat="1" ht="21" spans="1:29">
      <c r="A1" s="6" t="s">
        <v>0</v>
      </c>
      <c r="B1" s="7" t="s">
        <v>1</v>
      </c>
      <c r="C1" s="7" t="s">
        <v>2</v>
      </c>
      <c r="D1" s="7" t="s">
        <v>3</v>
      </c>
      <c r="E1" s="6" t="s">
        <v>4</v>
      </c>
      <c r="F1" s="8" t="s">
        <v>5</v>
      </c>
      <c r="G1" s="6" t="s">
        <v>6</v>
      </c>
      <c r="H1" s="7" t="s">
        <v>7</v>
      </c>
      <c r="I1" s="47" t="s">
        <v>8</v>
      </c>
      <c r="J1" s="6" t="s">
        <v>9</v>
      </c>
      <c r="K1" s="6" t="s">
        <v>10</v>
      </c>
      <c r="L1" s="6" t="s">
        <v>11</v>
      </c>
      <c r="M1" s="6" t="s">
        <v>12</v>
      </c>
      <c r="N1" s="6" t="s">
        <v>13</v>
      </c>
      <c r="O1" s="6" t="s">
        <v>14</v>
      </c>
      <c r="P1" s="6" t="s">
        <v>15</v>
      </c>
      <c r="Q1" s="6" t="s">
        <v>16</v>
      </c>
      <c r="R1" s="6" t="s">
        <v>17</v>
      </c>
      <c r="S1" s="20" t="s">
        <v>18</v>
      </c>
      <c r="T1" s="21" t="s">
        <v>19</v>
      </c>
      <c r="U1" s="21" t="s">
        <v>20</v>
      </c>
      <c r="V1" s="22" t="s">
        <v>21</v>
      </c>
      <c r="W1" s="22" t="s">
        <v>22</v>
      </c>
      <c r="X1" s="7" t="s">
        <v>23</v>
      </c>
      <c r="Y1" s="7" t="s">
        <v>24</v>
      </c>
      <c r="Z1" s="7" t="s">
        <v>25</v>
      </c>
      <c r="AA1" s="27" t="s">
        <v>26</v>
      </c>
      <c r="AB1" s="27" t="s">
        <v>27</v>
      </c>
      <c r="AC1" s="27" t="s">
        <v>28</v>
      </c>
    </row>
    <row r="2" s="2" customFormat="1" ht="66" hidden="1" spans="1:30">
      <c r="A2" s="10" t="s">
        <v>1259</v>
      </c>
      <c r="B2" s="4" t="s">
        <v>30</v>
      </c>
      <c r="C2" s="4" t="s">
        <v>31</v>
      </c>
      <c r="D2" s="4" t="s">
        <v>31</v>
      </c>
      <c r="E2" s="4"/>
      <c r="F2" s="40"/>
      <c r="G2" s="13"/>
      <c r="H2" s="4" t="s">
        <v>31</v>
      </c>
      <c r="I2" s="48"/>
      <c r="J2" s="49"/>
      <c r="K2" s="49"/>
      <c r="L2" s="49"/>
      <c r="M2" s="49"/>
      <c r="N2" s="49"/>
      <c r="O2" s="49"/>
      <c r="P2" s="49"/>
      <c r="Q2" s="49"/>
      <c r="R2" s="10"/>
      <c r="S2" s="4" t="s">
        <v>31</v>
      </c>
      <c r="T2" s="4" t="s">
        <v>32</v>
      </c>
      <c r="U2" s="4" t="s">
        <v>31</v>
      </c>
      <c r="V2" s="50" t="s">
        <v>33</v>
      </c>
      <c r="W2" s="10"/>
      <c r="X2" s="4" t="s">
        <v>31</v>
      </c>
      <c r="Y2" s="4" t="s">
        <v>32</v>
      </c>
      <c r="Z2" s="10" t="str">
        <f>_xlfn.DISPIMG("ID_06FF80DB229D4232A5B3991113B3A8E3",1)</f>
        <v>=DISPIMG("ID_06FF80DB229D4232A5B3991113B3A8E3",1)</v>
      </c>
      <c r="AA2" s="10" t="s">
        <v>34</v>
      </c>
      <c r="AB2" s="10" t="s">
        <v>35</v>
      </c>
      <c r="AC2" s="10"/>
      <c r="AD2" s="54"/>
    </row>
    <row r="3" s="2" customFormat="1" ht="66" hidden="1" spans="1:30">
      <c r="A3" s="10" t="s">
        <v>1259</v>
      </c>
      <c r="B3" s="4" t="s">
        <v>30</v>
      </c>
      <c r="C3" s="4" t="s">
        <v>37</v>
      </c>
      <c r="D3" s="4" t="s">
        <v>37</v>
      </c>
      <c r="E3" s="4"/>
      <c r="F3" s="40"/>
      <c r="G3" s="13"/>
      <c r="H3" s="4" t="s">
        <v>37</v>
      </c>
      <c r="I3" s="17"/>
      <c r="J3" s="10"/>
      <c r="K3" s="10"/>
      <c r="L3" s="10"/>
      <c r="M3" s="10"/>
      <c r="N3" s="10"/>
      <c r="O3" s="10"/>
      <c r="P3" s="10"/>
      <c r="Q3" s="10"/>
      <c r="R3" s="51"/>
      <c r="S3" s="52" t="s">
        <v>37</v>
      </c>
      <c r="T3" s="4" t="s">
        <v>32</v>
      </c>
      <c r="U3" s="52" t="s">
        <v>37</v>
      </c>
      <c r="V3" s="50" t="s">
        <v>33</v>
      </c>
      <c r="W3" s="10"/>
      <c r="X3" s="52" t="s">
        <v>37</v>
      </c>
      <c r="Y3" s="4" t="s">
        <v>32</v>
      </c>
      <c r="Z3" s="10" t="str">
        <f>_xlfn.DISPIMG("ID_C0FB8E5FFB374391A2FA05395954A40E",1)</f>
        <v>=DISPIMG("ID_C0FB8E5FFB374391A2FA05395954A40E",1)</v>
      </c>
      <c r="AA3" s="10" t="s">
        <v>34</v>
      </c>
      <c r="AB3" s="10" t="s">
        <v>38</v>
      </c>
      <c r="AC3" s="10"/>
      <c r="AD3" s="54"/>
    </row>
    <row r="4" s="2" customFormat="1" ht="66" hidden="1" spans="1:30">
      <c r="A4" s="10" t="s">
        <v>1259</v>
      </c>
      <c r="B4" s="4" t="s">
        <v>30</v>
      </c>
      <c r="C4" s="4" t="s">
        <v>39</v>
      </c>
      <c r="D4" s="4" t="s">
        <v>40</v>
      </c>
      <c r="E4" s="4"/>
      <c r="F4" s="40"/>
      <c r="G4" s="13"/>
      <c r="H4" s="4" t="s">
        <v>40</v>
      </c>
      <c r="I4" s="17"/>
      <c r="J4" s="10"/>
      <c r="K4" s="10"/>
      <c r="L4" s="10"/>
      <c r="M4" s="10"/>
      <c r="N4" s="10"/>
      <c r="O4" s="10"/>
      <c r="P4" s="10"/>
      <c r="Q4" s="10"/>
      <c r="R4" s="10"/>
      <c r="S4" s="52" t="s">
        <v>40</v>
      </c>
      <c r="T4" s="4" t="s">
        <v>32</v>
      </c>
      <c r="U4" s="52" t="s">
        <v>40</v>
      </c>
      <c r="V4" s="50" t="s">
        <v>33</v>
      </c>
      <c r="W4" s="10"/>
      <c r="X4" s="52" t="s">
        <v>40</v>
      </c>
      <c r="Y4" s="4" t="s">
        <v>32</v>
      </c>
      <c r="Z4" s="10" t="str">
        <f>_xlfn.DISPIMG("ID_616510B04EF74855BF9ABB3FA205E23A",1)</f>
        <v>=DISPIMG("ID_616510B04EF74855BF9ABB3FA205E23A",1)</v>
      </c>
      <c r="AA4" s="10" t="s">
        <v>34</v>
      </c>
      <c r="AB4" s="10" t="s">
        <v>41</v>
      </c>
      <c r="AC4" s="10"/>
      <c r="AD4" s="54"/>
    </row>
    <row r="5" s="2" customFormat="1" ht="82.5" hidden="1" spans="1:29">
      <c r="A5" s="10" t="s">
        <v>1259</v>
      </c>
      <c r="B5" s="4" t="s">
        <v>30</v>
      </c>
      <c r="C5" s="4" t="s">
        <v>39</v>
      </c>
      <c r="D5" s="4" t="s">
        <v>1260</v>
      </c>
      <c r="E5" s="4"/>
      <c r="F5" s="40"/>
      <c r="G5" s="13"/>
      <c r="H5" s="41" t="s">
        <v>1260</v>
      </c>
      <c r="I5" s="17"/>
      <c r="J5" s="10"/>
      <c r="K5" s="10"/>
      <c r="L5" s="10"/>
      <c r="M5" s="10"/>
      <c r="N5" s="10"/>
      <c r="O5" s="10"/>
      <c r="P5" s="10"/>
      <c r="Q5" s="10"/>
      <c r="R5" s="10"/>
      <c r="S5" s="52" t="s">
        <v>1261</v>
      </c>
      <c r="T5" s="4" t="s">
        <v>32</v>
      </c>
      <c r="U5" s="52" t="s">
        <v>1261</v>
      </c>
      <c r="V5" s="50" t="s">
        <v>33</v>
      </c>
      <c r="W5" s="23"/>
      <c r="X5" s="52" t="s">
        <v>1261</v>
      </c>
      <c r="Y5" s="4" t="s">
        <v>32</v>
      </c>
      <c r="Z5" s="10" t="str">
        <f>_xlfn.DISPIMG("ID_5247CEAFCD064BE9AA90D4E31F977296",1)</f>
        <v>=DISPIMG("ID_5247CEAFCD064BE9AA90D4E31F977296",1)</v>
      </c>
      <c r="AA5" s="10" t="s">
        <v>34</v>
      </c>
      <c r="AB5" s="10" t="s">
        <v>1262</v>
      </c>
      <c r="AC5" s="10"/>
    </row>
    <row r="6" s="2" customFormat="1" ht="66" hidden="1" spans="1:29">
      <c r="A6" s="10" t="s">
        <v>1259</v>
      </c>
      <c r="B6" s="4" t="s">
        <v>30</v>
      </c>
      <c r="C6" s="4" t="s">
        <v>39</v>
      </c>
      <c r="D6" s="4" t="s">
        <v>1260</v>
      </c>
      <c r="E6" s="4"/>
      <c r="F6" s="40"/>
      <c r="G6" s="13"/>
      <c r="H6" s="42"/>
      <c r="I6" s="17"/>
      <c r="J6" s="10"/>
      <c r="K6" s="10"/>
      <c r="L6" s="10"/>
      <c r="M6" s="10"/>
      <c r="N6" s="10"/>
      <c r="O6" s="10"/>
      <c r="P6" s="10"/>
      <c r="Q6" s="10"/>
      <c r="R6" s="10"/>
      <c r="S6" s="52" t="s">
        <v>1263</v>
      </c>
      <c r="T6" s="4" t="s">
        <v>32</v>
      </c>
      <c r="U6" s="52" t="s">
        <v>1263</v>
      </c>
      <c r="V6" s="50" t="s">
        <v>33</v>
      </c>
      <c r="W6" s="23"/>
      <c r="X6" s="52" t="s">
        <v>1263</v>
      </c>
      <c r="Y6" s="4" t="s">
        <v>32</v>
      </c>
      <c r="Z6" s="10" t="str">
        <f>_xlfn.DISPIMG("ID_A04F827174284EA5B1EB746A6BB3A6C7",1)</f>
        <v>=DISPIMG("ID_A04F827174284EA5B1EB746A6BB3A6C7",1)</v>
      </c>
      <c r="AA6" s="10" t="s">
        <v>34</v>
      </c>
      <c r="AB6" s="10" t="s">
        <v>1264</v>
      </c>
      <c r="AC6" s="10"/>
    </row>
    <row r="7" s="2" customFormat="1" ht="66" hidden="1" spans="1:29">
      <c r="A7" s="10" t="s">
        <v>1259</v>
      </c>
      <c r="B7" s="4" t="s">
        <v>30</v>
      </c>
      <c r="C7" s="4" t="s">
        <v>39</v>
      </c>
      <c r="D7" s="4" t="s">
        <v>1265</v>
      </c>
      <c r="E7" s="4"/>
      <c r="F7" s="40"/>
      <c r="G7" s="13"/>
      <c r="H7" s="41" t="s">
        <v>1265</v>
      </c>
      <c r="I7" s="17"/>
      <c r="J7" s="10"/>
      <c r="K7" s="10"/>
      <c r="L7" s="10"/>
      <c r="M7" s="10"/>
      <c r="N7" s="10"/>
      <c r="O7" s="10"/>
      <c r="P7" s="10"/>
      <c r="Q7" s="10"/>
      <c r="R7" s="10"/>
      <c r="S7" s="52" t="s">
        <v>918</v>
      </c>
      <c r="T7" s="4" t="s">
        <v>32</v>
      </c>
      <c r="U7" s="52" t="s">
        <v>918</v>
      </c>
      <c r="V7" s="50" t="s">
        <v>33</v>
      </c>
      <c r="W7" s="23"/>
      <c r="X7" s="52" t="s">
        <v>918</v>
      </c>
      <c r="Y7" s="4" t="s">
        <v>32</v>
      </c>
      <c r="Z7" s="10" t="str">
        <f>_xlfn.DISPIMG("ID_B9AE555E27BC412799DC575B5A823440",1)</f>
        <v>=DISPIMG("ID_B9AE555E27BC412799DC575B5A823440",1)</v>
      </c>
      <c r="AA7" s="10" t="s">
        <v>34</v>
      </c>
      <c r="AB7" s="10" t="s">
        <v>1266</v>
      </c>
      <c r="AC7" s="10"/>
    </row>
    <row r="8" s="2" customFormat="1" ht="66" hidden="1" spans="1:29">
      <c r="A8" s="10" t="s">
        <v>1259</v>
      </c>
      <c r="B8" s="4" t="s">
        <v>30</v>
      </c>
      <c r="C8" s="4" t="s">
        <v>39</v>
      </c>
      <c r="D8" s="4" t="s">
        <v>1265</v>
      </c>
      <c r="E8" s="4"/>
      <c r="F8" s="40"/>
      <c r="G8" s="13"/>
      <c r="H8" s="43"/>
      <c r="I8" s="17"/>
      <c r="J8" s="10"/>
      <c r="K8" s="10"/>
      <c r="L8" s="10"/>
      <c r="M8" s="10"/>
      <c r="N8" s="10"/>
      <c r="O8" s="10"/>
      <c r="P8" s="10"/>
      <c r="Q8" s="10"/>
      <c r="R8" s="10"/>
      <c r="S8" s="52" t="s">
        <v>919</v>
      </c>
      <c r="T8" s="4" t="s">
        <v>32</v>
      </c>
      <c r="U8" s="52" t="s">
        <v>919</v>
      </c>
      <c r="V8" s="50" t="s">
        <v>33</v>
      </c>
      <c r="W8" s="23"/>
      <c r="X8" s="52" t="s">
        <v>919</v>
      </c>
      <c r="Y8" s="4" t="s">
        <v>32</v>
      </c>
      <c r="Z8" s="10" t="str">
        <f>_xlfn.DISPIMG("ID_17247047AF4C4BCB806F8C4254F30527",1)</f>
        <v>=DISPIMG("ID_17247047AF4C4BCB806F8C4254F30527",1)</v>
      </c>
      <c r="AA8" s="10" t="s">
        <v>34</v>
      </c>
      <c r="AB8" s="10" t="s">
        <v>1267</v>
      </c>
      <c r="AC8" s="10"/>
    </row>
    <row r="9" s="2" customFormat="1" ht="66" hidden="1" spans="1:29">
      <c r="A9" s="10" t="s">
        <v>1259</v>
      </c>
      <c r="B9" s="4" t="s">
        <v>30</v>
      </c>
      <c r="C9" s="4" t="s">
        <v>39</v>
      </c>
      <c r="D9" s="4" t="s">
        <v>1265</v>
      </c>
      <c r="E9" s="4"/>
      <c r="F9" s="40"/>
      <c r="G9" s="13"/>
      <c r="H9" s="43"/>
      <c r="I9" s="17"/>
      <c r="J9" s="10"/>
      <c r="K9" s="10"/>
      <c r="L9" s="10"/>
      <c r="M9" s="10"/>
      <c r="N9" s="10"/>
      <c r="O9" s="10"/>
      <c r="P9" s="10"/>
      <c r="Q9" s="10"/>
      <c r="R9" s="10"/>
      <c r="S9" s="52" t="s">
        <v>1268</v>
      </c>
      <c r="T9" s="4" t="s">
        <v>32</v>
      </c>
      <c r="U9" s="52" t="s">
        <v>1268</v>
      </c>
      <c r="V9" s="50" t="s">
        <v>33</v>
      </c>
      <c r="W9" s="23"/>
      <c r="X9" s="52" t="s">
        <v>1268</v>
      </c>
      <c r="Y9" s="4" t="s">
        <v>32</v>
      </c>
      <c r="Z9" s="10" t="str">
        <f>_xlfn.DISPIMG("ID_F8B89237A7ED4A5097EA02E727AA7408",1)</f>
        <v>=DISPIMG("ID_F8B89237A7ED4A5097EA02E727AA7408",1)</v>
      </c>
      <c r="AA9" s="10" t="s">
        <v>34</v>
      </c>
      <c r="AB9" s="10" t="s">
        <v>1269</v>
      </c>
      <c r="AC9" s="10"/>
    </row>
    <row r="10" s="2" customFormat="1" ht="66" hidden="1" spans="1:29">
      <c r="A10" s="10" t="s">
        <v>1259</v>
      </c>
      <c r="B10" s="4" t="s">
        <v>30</v>
      </c>
      <c r="C10" s="4" t="s">
        <v>39</v>
      </c>
      <c r="D10" s="4" t="s">
        <v>1265</v>
      </c>
      <c r="E10" s="4"/>
      <c r="F10" s="40"/>
      <c r="G10" s="13"/>
      <c r="H10" s="42"/>
      <c r="I10" s="17"/>
      <c r="J10" s="10"/>
      <c r="K10" s="10"/>
      <c r="L10" s="10"/>
      <c r="M10" s="10"/>
      <c r="N10" s="10"/>
      <c r="O10" s="10"/>
      <c r="P10" s="10"/>
      <c r="Q10" s="10"/>
      <c r="R10" s="10"/>
      <c r="S10" s="52" t="s">
        <v>1270</v>
      </c>
      <c r="T10" s="4" t="s">
        <v>32</v>
      </c>
      <c r="U10" s="52" t="s">
        <v>1270</v>
      </c>
      <c r="V10" s="50" t="s">
        <v>33</v>
      </c>
      <c r="W10" s="23"/>
      <c r="X10" s="52" t="s">
        <v>1270</v>
      </c>
      <c r="Y10" s="4" t="s">
        <v>32</v>
      </c>
      <c r="Z10" s="10" t="str">
        <f>_xlfn.DISPIMG("ID_A350A0BF890E4B6396AE143BA26C3D60",1)</f>
        <v>=DISPIMG("ID_A350A0BF890E4B6396AE143BA26C3D60",1)</v>
      </c>
      <c r="AA10" s="10" t="s">
        <v>34</v>
      </c>
      <c r="AB10" s="10" t="s">
        <v>1271</v>
      </c>
      <c r="AC10" s="10"/>
    </row>
    <row r="11" s="2" customFormat="1" ht="66" hidden="1" spans="1:29">
      <c r="A11" s="10" t="s">
        <v>1259</v>
      </c>
      <c r="B11" s="4" t="s">
        <v>53</v>
      </c>
      <c r="C11" s="4" t="s">
        <v>1272</v>
      </c>
      <c r="D11" s="4" t="s">
        <v>923</v>
      </c>
      <c r="E11" s="4"/>
      <c r="F11" s="40"/>
      <c r="G11" s="13"/>
      <c r="H11" s="41" t="s">
        <v>923</v>
      </c>
      <c r="I11" s="17"/>
      <c r="J11" s="10"/>
      <c r="K11" s="10"/>
      <c r="L11" s="10"/>
      <c r="M11" s="10"/>
      <c r="N11" s="10"/>
      <c r="O11" s="10"/>
      <c r="P11" s="10"/>
      <c r="Q11" s="10"/>
      <c r="R11" s="19"/>
      <c r="S11" s="52" t="s">
        <v>1273</v>
      </c>
      <c r="T11" s="4" t="s">
        <v>32</v>
      </c>
      <c r="U11" s="52" t="s">
        <v>1273</v>
      </c>
      <c r="V11" s="50" t="s">
        <v>33</v>
      </c>
      <c r="W11" s="23"/>
      <c r="X11" s="52" t="s">
        <v>1273</v>
      </c>
      <c r="Y11" s="4" t="s">
        <v>32</v>
      </c>
      <c r="Z11" s="55" t="str">
        <f>_xlfn.DISPIMG("ID_D23CDB35367F402CB08ADF94471C514D",1)</f>
        <v>=DISPIMG("ID_D23CDB35367F402CB08ADF94471C514D",1)</v>
      </c>
      <c r="AA11" s="10" t="s">
        <v>34</v>
      </c>
      <c r="AB11" s="10" t="s">
        <v>56</v>
      </c>
      <c r="AC11" s="10"/>
    </row>
    <row r="12" s="2" customFormat="1" ht="85.7" hidden="1" spans="1:29">
      <c r="A12" s="10" t="s">
        <v>1259</v>
      </c>
      <c r="B12" s="4" t="s">
        <v>53</v>
      </c>
      <c r="C12" s="4" t="s">
        <v>1272</v>
      </c>
      <c r="D12" s="4" t="s">
        <v>923</v>
      </c>
      <c r="E12" s="4"/>
      <c r="F12" s="40"/>
      <c r="G12" s="13"/>
      <c r="H12" s="42"/>
      <c r="I12" s="17"/>
      <c r="J12" s="10"/>
      <c r="K12" s="10"/>
      <c r="L12" s="10"/>
      <c r="M12" s="10"/>
      <c r="N12" s="10"/>
      <c r="O12" s="10"/>
      <c r="P12" s="10"/>
      <c r="Q12" s="10"/>
      <c r="R12" s="10"/>
      <c r="S12" s="4" t="s">
        <v>1274</v>
      </c>
      <c r="T12" s="4" t="s">
        <v>58</v>
      </c>
      <c r="U12" s="4" t="s">
        <v>1274</v>
      </c>
      <c r="V12" s="50" t="s">
        <v>33</v>
      </c>
      <c r="W12" s="23"/>
      <c r="X12" s="4" t="s">
        <v>1274</v>
      </c>
      <c r="Y12" s="4" t="s">
        <v>58</v>
      </c>
      <c r="Z12" s="10" t="str">
        <f>_xlfn.DISPIMG("ID_9C1011A7247D438AABEA22CB12555E2E",1)</f>
        <v>=DISPIMG("ID_9C1011A7247D438AABEA22CB12555E2E",1)</v>
      </c>
      <c r="AA12" s="10" t="s">
        <v>34</v>
      </c>
      <c r="AB12" s="10" t="s">
        <v>1275</v>
      </c>
      <c r="AC12" s="10"/>
    </row>
    <row r="13" s="2" customFormat="1" ht="198" hidden="1" spans="1:29">
      <c r="A13" s="10" t="s">
        <v>1259</v>
      </c>
      <c r="B13" s="4" t="s">
        <v>53</v>
      </c>
      <c r="C13" s="4" t="s">
        <v>1272</v>
      </c>
      <c r="D13" s="4" t="s">
        <v>53</v>
      </c>
      <c r="E13" s="4"/>
      <c r="F13" s="40"/>
      <c r="G13" s="13"/>
      <c r="H13" s="4" t="s">
        <v>53</v>
      </c>
      <c r="I13" s="17"/>
      <c r="J13" s="10"/>
      <c r="K13" s="10"/>
      <c r="L13" s="10"/>
      <c r="M13" s="10"/>
      <c r="N13" s="10"/>
      <c r="O13" s="10"/>
      <c r="P13" s="10"/>
      <c r="Q13" s="10"/>
      <c r="R13" s="19"/>
      <c r="S13" s="4" t="s">
        <v>1276</v>
      </c>
      <c r="T13" s="4" t="s">
        <v>68</v>
      </c>
      <c r="U13" s="4" t="s">
        <v>1277</v>
      </c>
      <c r="V13" s="50" t="s">
        <v>33</v>
      </c>
      <c r="W13" s="23"/>
      <c r="X13" s="4" t="s">
        <v>1276</v>
      </c>
      <c r="Y13" s="4" t="s">
        <v>68</v>
      </c>
      <c r="Z13" s="10" t="str">
        <f>_xlfn.DISPIMG("ID_7144B63ED10C4C5CA98C84986E921917",1)</f>
        <v>=DISPIMG("ID_7144B63ED10C4C5CA98C84986E921917",1)</v>
      </c>
      <c r="AA13" s="10" t="s">
        <v>34</v>
      </c>
      <c r="AB13" s="10" t="s">
        <v>1278</v>
      </c>
      <c r="AC13" s="10"/>
    </row>
    <row r="14" s="2" customFormat="1" ht="66" hidden="1" spans="1:29">
      <c r="A14" s="10" t="s">
        <v>1259</v>
      </c>
      <c r="B14" s="4" t="s">
        <v>53</v>
      </c>
      <c r="C14" s="4" t="s">
        <v>127</v>
      </c>
      <c r="D14" s="4" t="s">
        <v>81</v>
      </c>
      <c r="E14" s="4"/>
      <c r="F14" s="40"/>
      <c r="G14" s="13"/>
      <c r="H14" s="41" t="s">
        <v>81</v>
      </c>
      <c r="I14" s="17"/>
      <c r="J14" s="10"/>
      <c r="K14" s="10"/>
      <c r="L14" s="10"/>
      <c r="M14" s="10"/>
      <c r="N14" s="10"/>
      <c r="O14" s="10"/>
      <c r="P14" s="10"/>
      <c r="Q14" s="10"/>
      <c r="R14" s="19"/>
      <c r="S14" s="4" t="s">
        <v>1279</v>
      </c>
      <c r="T14" s="4" t="s">
        <v>32</v>
      </c>
      <c r="U14" s="4" t="s">
        <v>1279</v>
      </c>
      <c r="V14" s="50" t="s">
        <v>33</v>
      </c>
      <c r="W14" s="23"/>
      <c r="X14" s="4" t="s">
        <v>1279</v>
      </c>
      <c r="Y14" s="4" t="s">
        <v>32</v>
      </c>
      <c r="Z14" s="10" t="str">
        <f>_xlfn.DISPIMG("ID_AABDE18233CA40F58BE84441F8FE560C",1)</f>
        <v>=DISPIMG("ID_AABDE18233CA40F58BE84441F8FE560C",1)</v>
      </c>
      <c r="AA14" s="10" t="s">
        <v>34</v>
      </c>
      <c r="AB14" s="10" t="s">
        <v>56</v>
      </c>
      <c r="AC14" s="10"/>
    </row>
    <row r="15" s="2" customFormat="1" ht="66" hidden="1" spans="1:29">
      <c r="A15" s="10" t="s">
        <v>1259</v>
      </c>
      <c r="B15" s="4" t="s">
        <v>53</v>
      </c>
      <c r="C15" s="4" t="s">
        <v>127</v>
      </c>
      <c r="D15" s="4" t="s">
        <v>81</v>
      </c>
      <c r="E15" s="4"/>
      <c r="F15" s="40"/>
      <c r="G15" s="13"/>
      <c r="H15" s="43"/>
      <c r="I15" s="17"/>
      <c r="J15" s="10"/>
      <c r="K15" s="10"/>
      <c r="L15" s="10"/>
      <c r="M15" s="10"/>
      <c r="N15" s="10"/>
      <c r="O15" s="10"/>
      <c r="P15" s="10"/>
      <c r="Q15" s="10"/>
      <c r="R15" s="26"/>
      <c r="S15" s="4" t="s">
        <v>1280</v>
      </c>
      <c r="T15" s="4" t="s">
        <v>32</v>
      </c>
      <c r="U15" s="4" t="s">
        <v>1280</v>
      </c>
      <c r="V15" s="50" t="s">
        <v>33</v>
      </c>
      <c r="W15" s="23"/>
      <c r="X15" s="4" t="s">
        <v>1280</v>
      </c>
      <c r="Y15" s="4" t="s">
        <v>32</v>
      </c>
      <c r="Z15" s="10" t="str">
        <f>_xlfn.DISPIMG("ID_33F90D53E98C4DF2887877401A3FCE67",1)</f>
        <v>=DISPIMG("ID_33F90D53E98C4DF2887877401A3FCE67",1)</v>
      </c>
      <c r="AA15" s="10" t="s">
        <v>34</v>
      </c>
      <c r="AB15" s="10" t="s">
        <v>56</v>
      </c>
      <c r="AC15" s="10"/>
    </row>
    <row r="16" s="2" customFormat="1" ht="66" hidden="1" spans="1:29">
      <c r="A16" s="10" t="s">
        <v>1259</v>
      </c>
      <c r="B16" s="4" t="s">
        <v>53</v>
      </c>
      <c r="C16" s="4" t="s">
        <v>127</v>
      </c>
      <c r="D16" s="4" t="s">
        <v>81</v>
      </c>
      <c r="E16" s="4"/>
      <c r="F16" s="40"/>
      <c r="G16" s="13"/>
      <c r="H16" s="43"/>
      <c r="I16" s="17"/>
      <c r="J16" s="10"/>
      <c r="K16" s="10"/>
      <c r="L16" s="10"/>
      <c r="M16" s="10"/>
      <c r="N16" s="10"/>
      <c r="O16" s="10"/>
      <c r="P16" s="10"/>
      <c r="Q16" s="10"/>
      <c r="R16" s="10"/>
      <c r="S16" s="4" t="s">
        <v>1281</v>
      </c>
      <c r="T16" s="4" t="s">
        <v>32</v>
      </c>
      <c r="U16" s="4" t="s">
        <v>1281</v>
      </c>
      <c r="V16" s="50" t="s">
        <v>33</v>
      </c>
      <c r="W16" s="23"/>
      <c r="X16" s="4" t="s">
        <v>1281</v>
      </c>
      <c r="Y16" s="4" t="s">
        <v>32</v>
      </c>
      <c r="Z16" s="10" t="str">
        <f>_xlfn.DISPIMG("ID_D795FE7072EE4B3FBE9165AF2E002EDE",1)</f>
        <v>=DISPIMG("ID_D795FE7072EE4B3FBE9165AF2E002EDE",1)</v>
      </c>
      <c r="AA16" s="10" t="s">
        <v>34</v>
      </c>
      <c r="AB16" s="10" t="s">
        <v>56</v>
      </c>
      <c r="AC16" s="10"/>
    </row>
    <row r="17" s="2" customFormat="1" ht="132" hidden="1" spans="1:29">
      <c r="A17" s="10" t="s">
        <v>1259</v>
      </c>
      <c r="B17" s="4" t="s">
        <v>53</v>
      </c>
      <c r="C17" s="4" t="s">
        <v>127</v>
      </c>
      <c r="D17" s="4" t="s">
        <v>81</v>
      </c>
      <c r="E17" s="4"/>
      <c r="F17" s="40"/>
      <c r="G17" s="13"/>
      <c r="H17" s="42"/>
      <c r="I17" s="17"/>
      <c r="J17" s="10"/>
      <c r="K17" s="10"/>
      <c r="L17" s="10"/>
      <c r="M17" s="10"/>
      <c r="N17" s="10"/>
      <c r="O17" s="10"/>
      <c r="P17" s="10"/>
      <c r="Q17" s="10"/>
      <c r="R17" s="10"/>
      <c r="S17" s="4" t="s">
        <v>1036</v>
      </c>
      <c r="T17" s="4" t="s">
        <v>68</v>
      </c>
      <c r="U17" s="40" t="s">
        <v>1282</v>
      </c>
      <c r="V17" s="50" t="s">
        <v>95</v>
      </c>
      <c r="W17" s="23"/>
      <c r="X17" s="4" t="s">
        <v>1036</v>
      </c>
      <c r="Y17" s="4" t="s">
        <v>68</v>
      </c>
      <c r="Z17" s="10" t="str">
        <f>_xlfn.DISPIMG("ID_2B4901ACFFA6472593EC2E62B9FDD51B",1)</f>
        <v>=DISPIMG("ID_2B4901ACFFA6472593EC2E62B9FDD51B",1)</v>
      </c>
      <c r="AA17" s="10" t="s">
        <v>34</v>
      </c>
      <c r="AB17" s="10" t="s">
        <v>1283</v>
      </c>
      <c r="AC17" s="10"/>
    </row>
    <row r="18" s="2" customFormat="1" ht="66" hidden="1" spans="1:29">
      <c r="A18" s="10" t="s">
        <v>1259</v>
      </c>
      <c r="B18" s="4" t="s">
        <v>53</v>
      </c>
      <c r="C18" s="4" t="s">
        <v>127</v>
      </c>
      <c r="D18" s="40" t="s">
        <v>127</v>
      </c>
      <c r="E18" s="40"/>
      <c r="F18" s="40"/>
      <c r="G18" s="13"/>
      <c r="H18" s="44" t="s">
        <v>127</v>
      </c>
      <c r="I18" s="17"/>
      <c r="J18" s="10"/>
      <c r="K18" s="10"/>
      <c r="L18" s="10"/>
      <c r="M18" s="10"/>
      <c r="N18" s="10"/>
      <c r="O18" s="10"/>
      <c r="P18" s="10"/>
      <c r="Q18" s="10"/>
      <c r="R18" s="10"/>
      <c r="S18" s="40" t="s">
        <v>1284</v>
      </c>
      <c r="T18" s="4" t="s">
        <v>32</v>
      </c>
      <c r="U18" s="40" t="s">
        <v>1284</v>
      </c>
      <c r="V18" s="50" t="s">
        <v>33</v>
      </c>
      <c r="W18" s="23"/>
      <c r="X18" s="40" t="s">
        <v>1284</v>
      </c>
      <c r="Y18" s="4" t="s">
        <v>32</v>
      </c>
      <c r="Z18" s="10" t="str">
        <f>_xlfn.DISPIMG("ID_B57B821CE94D4DA288CC853211D6BC23",1)</f>
        <v>=DISPIMG("ID_B57B821CE94D4DA288CC853211D6BC23",1)</v>
      </c>
      <c r="AA18" s="10" t="s">
        <v>34</v>
      </c>
      <c r="AB18" s="10" t="s">
        <v>56</v>
      </c>
      <c r="AC18" s="10"/>
    </row>
    <row r="19" s="2" customFormat="1" ht="66" hidden="1" spans="1:29">
      <c r="A19" s="10" t="s">
        <v>1259</v>
      </c>
      <c r="B19" s="4" t="s">
        <v>53</v>
      </c>
      <c r="C19" s="4" t="s">
        <v>127</v>
      </c>
      <c r="D19" s="40" t="s">
        <v>127</v>
      </c>
      <c r="E19" s="40"/>
      <c r="F19" s="40"/>
      <c r="G19" s="13"/>
      <c r="H19" s="45"/>
      <c r="I19" s="17"/>
      <c r="J19" s="10"/>
      <c r="K19" s="10"/>
      <c r="L19" s="10"/>
      <c r="M19" s="10"/>
      <c r="N19" s="10"/>
      <c r="O19" s="10"/>
      <c r="P19" s="10"/>
      <c r="Q19" s="10"/>
      <c r="R19" s="10"/>
      <c r="S19" s="40" t="s">
        <v>1285</v>
      </c>
      <c r="T19" s="4" t="s">
        <v>32</v>
      </c>
      <c r="U19" s="40" t="s">
        <v>1285</v>
      </c>
      <c r="V19" s="50" t="s">
        <v>33</v>
      </c>
      <c r="W19" s="23"/>
      <c r="X19" s="40" t="s">
        <v>1285</v>
      </c>
      <c r="Y19" s="4" t="s">
        <v>32</v>
      </c>
      <c r="Z19" s="10" t="str">
        <f>_xlfn.DISPIMG("ID_8C468BCE5EF4463795FDA00E3D4AA81F",1)</f>
        <v>=DISPIMG("ID_8C468BCE5EF4463795FDA00E3D4AA81F",1)</v>
      </c>
      <c r="AA19" s="10" t="s">
        <v>34</v>
      </c>
      <c r="AB19" s="10" t="s">
        <v>56</v>
      </c>
      <c r="AC19" s="10"/>
    </row>
    <row r="20" s="2" customFormat="1" ht="66" hidden="1" spans="1:29">
      <c r="A20" s="10" t="s">
        <v>1259</v>
      </c>
      <c r="B20" s="4" t="s">
        <v>53</v>
      </c>
      <c r="C20" s="4" t="s">
        <v>127</v>
      </c>
      <c r="D20" s="40" t="s">
        <v>127</v>
      </c>
      <c r="E20" s="40"/>
      <c r="F20" s="40"/>
      <c r="G20" s="13"/>
      <c r="H20" s="45"/>
      <c r="I20" s="17"/>
      <c r="J20" s="10"/>
      <c r="K20" s="10"/>
      <c r="L20" s="10"/>
      <c r="M20" s="10"/>
      <c r="N20" s="10"/>
      <c r="O20" s="10"/>
      <c r="P20" s="10"/>
      <c r="Q20" s="10"/>
      <c r="R20" s="10"/>
      <c r="S20" s="40" t="s">
        <v>1286</v>
      </c>
      <c r="T20" s="4" t="s">
        <v>32</v>
      </c>
      <c r="U20" s="40" t="s">
        <v>1286</v>
      </c>
      <c r="V20" s="50" t="s">
        <v>33</v>
      </c>
      <c r="W20" s="23"/>
      <c r="X20" s="40" t="s">
        <v>1286</v>
      </c>
      <c r="Y20" s="4" t="s">
        <v>32</v>
      </c>
      <c r="Z20" s="10" t="str">
        <f>_xlfn.DISPIMG("ID_2E7C0D8B84834A158104103A624782CB",1)</f>
        <v>=DISPIMG("ID_2E7C0D8B84834A158104103A624782CB",1)</v>
      </c>
      <c r="AA20" s="10" t="s">
        <v>34</v>
      </c>
      <c r="AB20" s="10" t="s">
        <v>56</v>
      </c>
      <c r="AC20" s="10"/>
    </row>
    <row r="21" s="2" customFormat="1" ht="66" hidden="1" spans="1:29">
      <c r="A21" s="10" t="s">
        <v>1259</v>
      </c>
      <c r="B21" s="4" t="s">
        <v>53</v>
      </c>
      <c r="C21" s="4" t="s">
        <v>127</v>
      </c>
      <c r="D21" s="40" t="s">
        <v>127</v>
      </c>
      <c r="E21" s="40"/>
      <c r="F21" s="40"/>
      <c r="G21" s="13"/>
      <c r="H21" s="45"/>
      <c r="I21" s="17"/>
      <c r="J21" s="10"/>
      <c r="K21" s="10"/>
      <c r="L21" s="10"/>
      <c r="M21" s="10"/>
      <c r="N21" s="10"/>
      <c r="O21" s="10"/>
      <c r="P21" s="10"/>
      <c r="Q21" s="10"/>
      <c r="R21" s="10"/>
      <c r="S21" s="40" t="s">
        <v>1287</v>
      </c>
      <c r="T21" s="4" t="s">
        <v>32</v>
      </c>
      <c r="U21" s="40" t="s">
        <v>1287</v>
      </c>
      <c r="V21" s="50" t="s">
        <v>33</v>
      </c>
      <c r="W21" s="23"/>
      <c r="X21" s="40" t="s">
        <v>1287</v>
      </c>
      <c r="Y21" s="4" t="s">
        <v>32</v>
      </c>
      <c r="Z21" s="10" t="str">
        <f>_xlfn.DISPIMG("ID_59670FF9C3074E64ABD5127E469381C8",1)</f>
        <v>=DISPIMG("ID_59670FF9C3074E64ABD5127E469381C8",1)</v>
      </c>
      <c r="AA21" s="10" t="s">
        <v>34</v>
      </c>
      <c r="AB21" s="10" t="s">
        <v>56</v>
      </c>
      <c r="AC21" s="10"/>
    </row>
    <row r="22" s="2" customFormat="1" ht="115.5" hidden="1" spans="1:29">
      <c r="A22" s="10" t="s">
        <v>1259</v>
      </c>
      <c r="B22" s="4" t="s">
        <v>53</v>
      </c>
      <c r="C22" s="4" t="s">
        <v>127</v>
      </c>
      <c r="D22" s="40" t="s">
        <v>127</v>
      </c>
      <c r="E22" s="40"/>
      <c r="F22" s="40"/>
      <c r="G22" s="13"/>
      <c r="H22" s="45"/>
      <c r="I22" s="17"/>
      <c r="J22" s="10"/>
      <c r="K22" s="10"/>
      <c r="L22" s="10"/>
      <c r="M22" s="10"/>
      <c r="N22" s="10"/>
      <c r="O22" s="10"/>
      <c r="P22" s="10"/>
      <c r="Q22" s="10"/>
      <c r="R22" s="10"/>
      <c r="S22" s="40" t="s">
        <v>1045</v>
      </c>
      <c r="T22" s="4" t="s">
        <v>68</v>
      </c>
      <c r="U22" s="4" t="s">
        <v>1288</v>
      </c>
      <c r="V22" s="50" t="s">
        <v>136</v>
      </c>
      <c r="W22" s="23"/>
      <c r="X22" s="40" t="s">
        <v>1045</v>
      </c>
      <c r="Y22" s="4" t="s">
        <v>68</v>
      </c>
      <c r="Z22" s="10"/>
      <c r="AA22" s="10" t="s">
        <v>34</v>
      </c>
      <c r="AB22" s="10" t="s">
        <v>1289</v>
      </c>
      <c r="AC22" s="10"/>
    </row>
    <row r="23" s="2" customFormat="1" ht="66" hidden="1" spans="1:29">
      <c r="A23" s="10" t="s">
        <v>1259</v>
      </c>
      <c r="B23" s="4" t="s">
        <v>53</v>
      </c>
      <c r="C23" s="4" t="s">
        <v>127</v>
      </c>
      <c r="D23" s="40" t="s">
        <v>127</v>
      </c>
      <c r="E23" s="40"/>
      <c r="F23" s="40"/>
      <c r="G23" s="13"/>
      <c r="H23" s="45"/>
      <c r="I23" s="17"/>
      <c r="J23" s="10"/>
      <c r="K23" s="10"/>
      <c r="L23" s="10"/>
      <c r="M23" s="10"/>
      <c r="N23" s="10"/>
      <c r="O23" s="10"/>
      <c r="P23" s="10"/>
      <c r="Q23" s="10"/>
      <c r="R23" s="10"/>
      <c r="S23" s="40" t="s">
        <v>1290</v>
      </c>
      <c r="T23" s="4" t="s">
        <v>32</v>
      </c>
      <c r="U23" s="40" t="s">
        <v>1290</v>
      </c>
      <c r="V23" s="50" t="s">
        <v>33</v>
      </c>
      <c r="W23" s="23"/>
      <c r="X23" s="40" t="s">
        <v>1290</v>
      </c>
      <c r="Y23" s="4" t="s">
        <v>32</v>
      </c>
      <c r="Z23" s="10" t="str">
        <f>_xlfn.DISPIMG("ID_C4819DAED24843758B811A43F3F871FF",1)</f>
        <v>=DISPIMG("ID_C4819DAED24843758B811A43F3F871FF",1)</v>
      </c>
      <c r="AA23" s="10" t="s">
        <v>34</v>
      </c>
      <c r="AB23" s="10" t="s">
        <v>56</v>
      </c>
      <c r="AC23" s="10"/>
    </row>
    <row r="24" s="2" customFormat="1" ht="66" hidden="1" spans="1:29">
      <c r="A24" s="10" t="s">
        <v>1259</v>
      </c>
      <c r="B24" s="4" t="s">
        <v>53</v>
      </c>
      <c r="C24" s="4" t="s">
        <v>127</v>
      </c>
      <c r="D24" s="40" t="s">
        <v>127</v>
      </c>
      <c r="E24" s="40"/>
      <c r="F24" s="40"/>
      <c r="G24" s="13"/>
      <c r="H24" s="46"/>
      <c r="I24" s="17"/>
      <c r="J24" s="10"/>
      <c r="K24" s="10"/>
      <c r="L24" s="10"/>
      <c r="M24" s="10"/>
      <c r="N24" s="10"/>
      <c r="O24" s="10"/>
      <c r="P24" s="10"/>
      <c r="Q24" s="10"/>
      <c r="R24" s="10"/>
      <c r="S24" s="40" t="s">
        <v>1291</v>
      </c>
      <c r="T24" s="4" t="s">
        <v>32</v>
      </c>
      <c r="U24" s="40" t="s">
        <v>1291</v>
      </c>
      <c r="V24" s="50" t="s">
        <v>33</v>
      </c>
      <c r="W24" s="23"/>
      <c r="X24" s="40" t="s">
        <v>1291</v>
      </c>
      <c r="Y24" s="4" t="s">
        <v>32</v>
      </c>
      <c r="Z24" s="10"/>
      <c r="AA24" s="10" t="s">
        <v>34</v>
      </c>
      <c r="AB24" s="10" t="s">
        <v>56</v>
      </c>
      <c r="AC24" s="10"/>
    </row>
    <row r="25" s="2" customFormat="1" ht="66" hidden="1" spans="1:29">
      <c r="A25" s="10" t="s">
        <v>1259</v>
      </c>
      <c r="B25" s="4" t="s">
        <v>53</v>
      </c>
      <c r="C25" s="4" t="s">
        <v>198</v>
      </c>
      <c r="D25" s="4" t="s">
        <v>198</v>
      </c>
      <c r="E25" s="4"/>
      <c r="F25" s="40"/>
      <c r="G25" s="13"/>
      <c r="H25" s="41" t="s">
        <v>198</v>
      </c>
      <c r="I25" s="17"/>
      <c r="J25" s="10"/>
      <c r="K25" s="10"/>
      <c r="L25" s="10"/>
      <c r="M25" s="10"/>
      <c r="N25" s="10"/>
      <c r="O25" s="10"/>
      <c r="P25" s="10"/>
      <c r="Q25" s="10"/>
      <c r="R25" s="10"/>
      <c r="S25" s="4" t="s">
        <v>202</v>
      </c>
      <c r="T25" s="4" t="s">
        <v>32</v>
      </c>
      <c r="U25" s="4" t="s">
        <v>202</v>
      </c>
      <c r="V25" s="50" t="s">
        <v>33</v>
      </c>
      <c r="W25" s="23"/>
      <c r="X25" s="4" t="s">
        <v>202</v>
      </c>
      <c r="Y25" s="4" t="s">
        <v>32</v>
      </c>
      <c r="Z25" s="10" t="str">
        <f>_xlfn.DISPIMG("ID_D8955422E3B74FB998ADA58481865A59",1)</f>
        <v>=DISPIMG("ID_D8955422E3B74FB998ADA58481865A59",1)</v>
      </c>
      <c r="AA25" s="10" t="s">
        <v>34</v>
      </c>
      <c r="AB25" s="10" t="s">
        <v>56</v>
      </c>
      <c r="AC25" s="10"/>
    </row>
    <row r="26" s="2" customFormat="1" ht="66" hidden="1" spans="1:29">
      <c r="A26" s="10" t="s">
        <v>1259</v>
      </c>
      <c r="B26" s="4" t="s">
        <v>53</v>
      </c>
      <c r="C26" s="4" t="s">
        <v>198</v>
      </c>
      <c r="D26" s="4" t="s">
        <v>198</v>
      </c>
      <c r="E26" s="4"/>
      <c r="F26" s="40"/>
      <c r="G26" s="13"/>
      <c r="H26" s="43"/>
      <c r="I26" s="17"/>
      <c r="J26" s="10"/>
      <c r="K26" s="10"/>
      <c r="L26" s="10"/>
      <c r="M26" s="10"/>
      <c r="N26" s="10"/>
      <c r="O26" s="10"/>
      <c r="P26" s="10"/>
      <c r="Q26" s="10"/>
      <c r="R26" s="10"/>
      <c r="S26" s="4" t="s">
        <v>1292</v>
      </c>
      <c r="T26" s="4" t="s">
        <v>32</v>
      </c>
      <c r="U26" s="4" t="s">
        <v>1292</v>
      </c>
      <c r="V26" s="50" t="s">
        <v>33</v>
      </c>
      <c r="W26" s="23"/>
      <c r="X26" s="4" t="s">
        <v>1292</v>
      </c>
      <c r="Y26" s="4" t="s">
        <v>32</v>
      </c>
      <c r="Z26" s="10" t="str">
        <f>_xlfn.DISPIMG("ID_B90BF26A1D7647C39AA0B7804E9E61A8",1)</f>
        <v>=DISPIMG("ID_B90BF26A1D7647C39AA0B7804E9E61A8",1)</v>
      </c>
      <c r="AA26" s="10" t="s">
        <v>34</v>
      </c>
      <c r="AB26" s="10" t="s">
        <v>56</v>
      </c>
      <c r="AC26" s="10"/>
    </row>
    <row r="27" s="2" customFormat="1" ht="66" hidden="1" spans="1:29">
      <c r="A27" s="10" t="s">
        <v>1259</v>
      </c>
      <c r="B27" s="4" t="s">
        <v>53</v>
      </c>
      <c r="C27" s="4" t="s">
        <v>198</v>
      </c>
      <c r="D27" s="4" t="s">
        <v>198</v>
      </c>
      <c r="E27" s="4"/>
      <c r="F27" s="40"/>
      <c r="G27" s="13"/>
      <c r="H27" s="43"/>
      <c r="I27" s="17"/>
      <c r="J27" s="10"/>
      <c r="K27" s="10"/>
      <c r="L27" s="10"/>
      <c r="M27" s="10"/>
      <c r="N27" s="10"/>
      <c r="O27" s="10"/>
      <c r="P27" s="10"/>
      <c r="Q27" s="10"/>
      <c r="R27" s="10"/>
      <c r="S27" s="4" t="s">
        <v>1293</v>
      </c>
      <c r="T27" s="4" t="s">
        <v>32</v>
      </c>
      <c r="U27" s="4" t="s">
        <v>1293</v>
      </c>
      <c r="V27" s="50" t="s">
        <v>33</v>
      </c>
      <c r="W27" s="23"/>
      <c r="X27" s="4" t="s">
        <v>1293</v>
      </c>
      <c r="Y27" s="4" t="s">
        <v>32</v>
      </c>
      <c r="Z27" s="10" t="str">
        <f>_xlfn.DISPIMG("ID_47856AD45B8A43299C5F6F5F1C7E6D68",1)</f>
        <v>=DISPIMG("ID_47856AD45B8A43299C5F6F5F1C7E6D68",1)</v>
      </c>
      <c r="AA27" s="10" t="s">
        <v>34</v>
      </c>
      <c r="AB27" s="10" t="s">
        <v>56</v>
      </c>
      <c r="AC27" s="10"/>
    </row>
    <row r="28" s="2" customFormat="1" ht="66" hidden="1" spans="1:29">
      <c r="A28" s="10" t="s">
        <v>1259</v>
      </c>
      <c r="B28" s="4" t="s">
        <v>53</v>
      </c>
      <c r="C28" s="4" t="s">
        <v>198</v>
      </c>
      <c r="D28" s="4" t="s">
        <v>198</v>
      </c>
      <c r="E28" s="4"/>
      <c r="F28" s="40"/>
      <c r="G28" s="13"/>
      <c r="H28" s="43"/>
      <c r="I28" s="17"/>
      <c r="J28" s="10"/>
      <c r="K28" s="10"/>
      <c r="L28" s="10"/>
      <c r="M28" s="10"/>
      <c r="N28" s="10"/>
      <c r="O28" s="10"/>
      <c r="P28" s="10"/>
      <c r="Q28" s="10"/>
      <c r="R28" s="10"/>
      <c r="S28" s="4" t="s">
        <v>1294</v>
      </c>
      <c r="T28" s="4" t="s">
        <v>32</v>
      </c>
      <c r="U28" s="4" t="s">
        <v>1294</v>
      </c>
      <c r="V28" s="50" t="s">
        <v>33</v>
      </c>
      <c r="W28" s="23"/>
      <c r="X28" s="4" t="s">
        <v>1294</v>
      </c>
      <c r="Y28" s="4" t="s">
        <v>32</v>
      </c>
      <c r="Z28" s="10" t="str">
        <f>_xlfn.DISPIMG("ID_173ED3B4B986476AA9467105A9F2448D",1)</f>
        <v>=DISPIMG("ID_173ED3B4B986476AA9467105A9F2448D",1)</v>
      </c>
      <c r="AA28" s="10" t="s">
        <v>34</v>
      </c>
      <c r="AB28" s="10" t="s">
        <v>56</v>
      </c>
      <c r="AC28" s="10"/>
    </row>
    <row r="29" s="2" customFormat="1" ht="66" hidden="1" spans="1:29">
      <c r="A29" s="10" t="s">
        <v>1259</v>
      </c>
      <c r="B29" s="4" t="s">
        <v>53</v>
      </c>
      <c r="C29" s="4" t="s">
        <v>198</v>
      </c>
      <c r="D29" s="4" t="s">
        <v>198</v>
      </c>
      <c r="E29" s="4"/>
      <c r="F29" s="40"/>
      <c r="G29" s="13"/>
      <c r="H29" s="42"/>
      <c r="I29" s="17"/>
      <c r="J29" s="10"/>
      <c r="K29" s="10"/>
      <c r="L29" s="10"/>
      <c r="M29" s="10"/>
      <c r="N29" s="10"/>
      <c r="O29" s="10"/>
      <c r="P29" s="10"/>
      <c r="Q29" s="10"/>
      <c r="R29" s="10"/>
      <c r="S29" s="4" t="s">
        <v>1295</v>
      </c>
      <c r="T29" s="4" t="s">
        <v>32</v>
      </c>
      <c r="U29" s="4" t="s">
        <v>1295</v>
      </c>
      <c r="V29" s="50" t="s">
        <v>33</v>
      </c>
      <c r="W29" s="23"/>
      <c r="X29" s="4" t="s">
        <v>1295</v>
      </c>
      <c r="Y29" s="4" t="s">
        <v>32</v>
      </c>
      <c r="Z29" s="10" t="str">
        <f>_xlfn.DISPIMG("ID_B85BACCCA8CB4947A0C06C29B9E78ADF",1)</f>
        <v>=DISPIMG("ID_B85BACCCA8CB4947A0C06C29B9E78ADF",1)</v>
      </c>
      <c r="AA29" s="10" t="s">
        <v>34</v>
      </c>
      <c r="AB29" s="10" t="s">
        <v>56</v>
      </c>
      <c r="AC29" s="10"/>
    </row>
    <row r="30" s="2" customFormat="1" ht="66" hidden="1" spans="1:29">
      <c r="A30" s="10" t="s">
        <v>1259</v>
      </c>
      <c r="B30" s="4" t="s">
        <v>53</v>
      </c>
      <c r="C30" s="4" t="s">
        <v>262</v>
      </c>
      <c r="D30" s="4" t="s">
        <v>262</v>
      </c>
      <c r="E30" s="4"/>
      <c r="F30" s="40"/>
      <c r="G30" s="13"/>
      <c r="H30" s="41" t="s">
        <v>262</v>
      </c>
      <c r="I30" s="17"/>
      <c r="J30" s="10"/>
      <c r="K30" s="10"/>
      <c r="L30" s="10"/>
      <c r="M30" s="10"/>
      <c r="N30" s="10"/>
      <c r="O30" s="10"/>
      <c r="P30" s="10"/>
      <c r="Q30" s="10"/>
      <c r="R30" s="10"/>
      <c r="S30" s="4" t="s">
        <v>1296</v>
      </c>
      <c r="T30" s="4" t="s">
        <v>32</v>
      </c>
      <c r="U30" s="4" t="s">
        <v>1296</v>
      </c>
      <c r="V30" s="50" t="s">
        <v>33</v>
      </c>
      <c r="W30" s="23"/>
      <c r="X30" s="4" t="s">
        <v>1296</v>
      </c>
      <c r="Y30" s="4" t="s">
        <v>32</v>
      </c>
      <c r="Z30" s="10" t="str">
        <f>_xlfn.DISPIMG("ID_576BDBE7715C48A797A8EC2614789A71",1)</f>
        <v>=DISPIMG("ID_576BDBE7715C48A797A8EC2614789A71",1)</v>
      </c>
      <c r="AA30" s="10" t="s">
        <v>34</v>
      </c>
      <c r="AB30" s="10" t="s">
        <v>56</v>
      </c>
      <c r="AC30" s="10"/>
    </row>
    <row r="31" s="2" customFormat="1" ht="49.5" hidden="1" spans="1:29">
      <c r="A31" s="10" t="s">
        <v>1259</v>
      </c>
      <c r="B31" s="4" t="s">
        <v>53</v>
      </c>
      <c r="C31" s="4" t="s">
        <v>262</v>
      </c>
      <c r="D31" s="4" t="s">
        <v>262</v>
      </c>
      <c r="E31" s="4"/>
      <c r="F31" s="40"/>
      <c r="G31" s="13"/>
      <c r="H31" s="43"/>
      <c r="I31" s="17"/>
      <c r="J31" s="10"/>
      <c r="K31" s="10"/>
      <c r="L31" s="10"/>
      <c r="M31" s="10"/>
      <c r="N31" s="10"/>
      <c r="O31" s="10"/>
      <c r="P31" s="10"/>
      <c r="Q31" s="10"/>
      <c r="R31" s="10"/>
      <c r="S31" s="4" t="s">
        <v>1297</v>
      </c>
      <c r="T31" s="4" t="s">
        <v>58</v>
      </c>
      <c r="U31" s="4" t="s">
        <v>1297</v>
      </c>
      <c r="V31" s="50" t="s">
        <v>33</v>
      </c>
      <c r="W31" s="23"/>
      <c r="X31" s="4" t="s">
        <v>1297</v>
      </c>
      <c r="Y31" s="4" t="s">
        <v>58</v>
      </c>
      <c r="Z31" s="10" t="str">
        <f>_xlfn.DISPIMG("ID_8FDE9AA8BE6446E7835B800B0EFBD9A4",1)</f>
        <v>=DISPIMG("ID_8FDE9AA8BE6446E7835B800B0EFBD9A4",1)</v>
      </c>
      <c r="AA31" s="10" t="s">
        <v>34</v>
      </c>
      <c r="AB31" s="10" t="s">
        <v>1298</v>
      </c>
      <c r="AC31" s="10"/>
    </row>
    <row r="32" s="2" customFormat="1" ht="66" hidden="1" spans="1:29">
      <c r="A32" s="10" t="s">
        <v>1259</v>
      </c>
      <c r="B32" s="4" t="s">
        <v>53</v>
      </c>
      <c r="C32" s="4" t="s">
        <v>262</v>
      </c>
      <c r="D32" s="4" t="s">
        <v>262</v>
      </c>
      <c r="E32" s="4"/>
      <c r="F32" s="40"/>
      <c r="G32" s="13"/>
      <c r="H32" s="43"/>
      <c r="I32" s="17"/>
      <c r="J32" s="10"/>
      <c r="K32" s="10"/>
      <c r="L32" s="10"/>
      <c r="M32" s="10"/>
      <c r="N32" s="10"/>
      <c r="O32" s="10"/>
      <c r="P32" s="10"/>
      <c r="Q32" s="10"/>
      <c r="R32" s="10"/>
      <c r="S32" s="4" t="s">
        <v>1299</v>
      </c>
      <c r="T32" s="4" t="s">
        <v>32</v>
      </c>
      <c r="U32" s="4" t="s">
        <v>1299</v>
      </c>
      <c r="V32" s="50" t="s">
        <v>33</v>
      </c>
      <c r="W32" s="23"/>
      <c r="X32" s="4" t="s">
        <v>1299</v>
      </c>
      <c r="Y32" s="4" t="s">
        <v>32</v>
      </c>
      <c r="Z32" s="10" t="str">
        <f>_xlfn.DISPIMG("ID_DE8C1E98060845A4948597961292890A",1)</f>
        <v>=DISPIMG("ID_DE8C1E98060845A4948597961292890A",1)</v>
      </c>
      <c r="AA32" s="10" t="s">
        <v>34</v>
      </c>
      <c r="AB32" s="10" t="s">
        <v>56</v>
      </c>
      <c r="AC32" s="10"/>
    </row>
    <row r="33" s="2" customFormat="1" ht="66" hidden="1" spans="1:29">
      <c r="A33" s="10" t="s">
        <v>1259</v>
      </c>
      <c r="B33" s="4" t="s">
        <v>53</v>
      </c>
      <c r="C33" s="4" t="s">
        <v>262</v>
      </c>
      <c r="D33" s="4" t="s">
        <v>262</v>
      </c>
      <c r="E33" s="4"/>
      <c r="F33" s="40"/>
      <c r="G33" s="13"/>
      <c r="H33" s="43"/>
      <c r="I33" s="17"/>
      <c r="J33" s="10"/>
      <c r="K33" s="10"/>
      <c r="L33" s="10"/>
      <c r="M33" s="10"/>
      <c r="N33" s="10"/>
      <c r="O33" s="10"/>
      <c r="P33" s="10"/>
      <c r="Q33" s="10"/>
      <c r="R33" s="10"/>
      <c r="S33" s="4" t="s">
        <v>1300</v>
      </c>
      <c r="T33" s="4" t="s">
        <v>32</v>
      </c>
      <c r="U33" s="4" t="s">
        <v>1300</v>
      </c>
      <c r="V33" s="50" t="s">
        <v>33</v>
      </c>
      <c r="W33" s="23"/>
      <c r="X33" s="4" t="s">
        <v>1300</v>
      </c>
      <c r="Y33" s="4" t="s">
        <v>32</v>
      </c>
      <c r="Z33" s="10" t="str">
        <f>_xlfn.DISPIMG("ID_1731817C96CA43A5B57444F494442E62",1)</f>
        <v>=DISPIMG("ID_1731817C96CA43A5B57444F494442E62",1)</v>
      </c>
      <c r="AA33" s="10" t="s">
        <v>34</v>
      </c>
      <c r="AB33" s="10" t="s">
        <v>56</v>
      </c>
      <c r="AC33" s="10"/>
    </row>
    <row r="34" s="2" customFormat="1" ht="99" hidden="1" spans="1:29">
      <c r="A34" s="10" t="s">
        <v>1259</v>
      </c>
      <c r="B34" s="4" t="s">
        <v>53</v>
      </c>
      <c r="C34" s="4" t="s">
        <v>262</v>
      </c>
      <c r="D34" s="4" t="s">
        <v>262</v>
      </c>
      <c r="E34" s="4"/>
      <c r="F34" s="40"/>
      <c r="G34" s="13"/>
      <c r="H34" s="43"/>
      <c r="I34" s="17"/>
      <c r="J34" s="10"/>
      <c r="K34" s="10"/>
      <c r="L34" s="10"/>
      <c r="M34" s="10"/>
      <c r="N34" s="10"/>
      <c r="O34" s="10"/>
      <c r="P34" s="10"/>
      <c r="Q34" s="10"/>
      <c r="R34" s="10"/>
      <c r="S34" s="4" t="s">
        <v>1053</v>
      </c>
      <c r="T34" s="4" t="s">
        <v>68</v>
      </c>
      <c r="U34" s="4" t="s">
        <v>1301</v>
      </c>
      <c r="V34" s="50" t="s">
        <v>269</v>
      </c>
      <c r="W34" s="23"/>
      <c r="X34" s="4" t="s">
        <v>1053</v>
      </c>
      <c r="Y34" s="4" t="s">
        <v>68</v>
      </c>
      <c r="Z34" s="10" t="str">
        <f>_xlfn.DISPIMG("ID_DC3F6ABE5A4245969ABE3CBB163A3CC0",1)</f>
        <v>=DISPIMG("ID_DC3F6ABE5A4245969ABE3CBB163A3CC0",1)</v>
      </c>
      <c r="AA34" s="10" t="s">
        <v>34</v>
      </c>
      <c r="AB34" s="10" t="s">
        <v>1302</v>
      </c>
      <c r="AC34" s="10"/>
    </row>
    <row r="35" s="2" customFormat="1" ht="82.5" hidden="1" spans="1:29">
      <c r="A35" s="10" t="s">
        <v>1259</v>
      </c>
      <c r="B35" s="4" t="s">
        <v>53</v>
      </c>
      <c r="C35" s="4" t="s">
        <v>262</v>
      </c>
      <c r="D35" s="4" t="s">
        <v>262</v>
      </c>
      <c r="E35" s="4"/>
      <c r="F35" s="40"/>
      <c r="G35" s="13"/>
      <c r="H35" s="43"/>
      <c r="I35" s="17"/>
      <c r="J35" s="10"/>
      <c r="K35" s="10"/>
      <c r="L35" s="10"/>
      <c r="M35" s="10"/>
      <c r="N35" s="10"/>
      <c r="O35" s="10"/>
      <c r="P35" s="10"/>
      <c r="Q35" s="10"/>
      <c r="R35" s="10"/>
      <c r="S35" s="4" t="s">
        <v>1303</v>
      </c>
      <c r="T35" s="4" t="s">
        <v>68</v>
      </c>
      <c r="U35" s="4" t="s">
        <v>1304</v>
      </c>
      <c r="V35" s="50" t="s">
        <v>269</v>
      </c>
      <c r="W35" s="23"/>
      <c r="X35" s="4" t="s">
        <v>1303</v>
      </c>
      <c r="Y35" s="4" t="s">
        <v>68</v>
      </c>
      <c r="Z35" s="10" t="str">
        <f>_xlfn.DISPIMG("ID_9013F612402043BE9E13125598FA387F",1)</f>
        <v>=DISPIMG("ID_9013F612402043BE9E13125598FA387F",1)</v>
      </c>
      <c r="AA35" s="10" t="s">
        <v>34</v>
      </c>
      <c r="AB35" s="10" t="s">
        <v>1305</v>
      </c>
      <c r="AC35" s="10"/>
    </row>
    <row r="36" s="2" customFormat="1" ht="66" hidden="1" spans="1:29">
      <c r="A36" s="10" t="s">
        <v>1259</v>
      </c>
      <c r="B36" s="4" t="s">
        <v>53</v>
      </c>
      <c r="C36" s="4" t="s">
        <v>262</v>
      </c>
      <c r="D36" s="4" t="s">
        <v>262</v>
      </c>
      <c r="E36" s="4"/>
      <c r="F36" s="40"/>
      <c r="G36" s="13"/>
      <c r="H36" s="43"/>
      <c r="I36" s="17"/>
      <c r="J36" s="10"/>
      <c r="K36" s="10"/>
      <c r="L36" s="10"/>
      <c r="M36" s="10"/>
      <c r="N36" s="10"/>
      <c r="O36" s="10"/>
      <c r="P36" s="10"/>
      <c r="Q36" s="10"/>
      <c r="R36" s="10"/>
      <c r="S36" s="4" t="s">
        <v>296</v>
      </c>
      <c r="T36" s="4" t="s">
        <v>32</v>
      </c>
      <c r="U36" s="4" t="s">
        <v>296</v>
      </c>
      <c r="V36" s="50" t="s">
        <v>33</v>
      </c>
      <c r="W36" s="23"/>
      <c r="X36" s="4" t="s">
        <v>296</v>
      </c>
      <c r="Y36" s="4" t="s">
        <v>32</v>
      </c>
      <c r="Z36" s="10" t="str">
        <f>_xlfn.DISPIMG("ID_9A3200555C6B462DB756CE7D9045789A",1)</f>
        <v>=DISPIMG("ID_9A3200555C6B462DB756CE7D9045789A",1)</v>
      </c>
      <c r="AA36" s="10" t="s">
        <v>34</v>
      </c>
      <c r="AB36" s="10" t="s">
        <v>56</v>
      </c>
      <c r="AC36" s="10"/>
    </row>
    <row r="37" s="2" customFormat="1" ht="66" hidden="1" spans="1:29">
      <c r="A37" s="10" t="s">
        <v>1259</v>
      </c>
      <c r="B37" s="4" t="s">
        <v>53</v>
      </c>
      <c r="C37" s="4" t="s">
        <v>262</v>
      </c>
      <c r="D37" s="4" t="s">
        <v>262</v>
      </c>
      <c r="E37" s="4"/>
      <c r="F37" s="40"/>
      <c r="G37" s="13"/>
      <c r="H37" s="43"/>
      <c r="I37" s="17"/>
      <c r="J37" s="10"/>
      <c r="K37" s="10"/>
      <c r="L37" s="10"/>
      <c r="M37" s="10"/>
      <c r="N37" s="10"/>
      <c r="O37" s="10"/>
      <c r="P37" s="10"/>
      <c r="Q37" s="10"/>
      <c r="R37" s="10"/>
      <c r="S37" s="4" t="s">
        <v>1306</v>
      </c>
      <c r="T37" s="4" t="s">
        <v>32</v>
      </c>
      <c r="U37" s="4" t="s">
        <v>1306</v>
      </c>
      <c r="V37" s="50" t="s">
        <v>33</v>
      </c>
      <c r="W37" s="23"/>
      <c r="X37" s="4" t="s">
        <v>1306</v>
      </c>
      <c r="Y37" s="4" t="s">
        <v>32</v>
      </c>
      <c r="Z37" s="10" t="str">
        <f>_xlfn.DISPIMG("ID_6D936FA609A7403BBCA18E0E550461ED",1)</f>
        <v>=DISPIMG("ID_6D936FA609A7403BBCA18E0E550461ED",1)</v>
      </c>
      <c r="AA37" s="10" t="s">
        <v>34</v>
      </c>
      <c r="AB37" s="10" t="s">
        <v>56</v>
      </c>
      <c r="AC37" s="10"/>
    </row>
    <row r="38" s="2" customFormat="1" ht="66" hidden="1" spans="1:29">
      <c r="A38" s="10" t="s">
        <v>1259</v>
      </c>
      <c r="B38" s="4" t="s">
        <v>53</v>
      </c>
      <c r="C38" s="4" t="s">
        <v>262</v>
      </c>
      <c r="D38" s="4" t="s">
        <v>262</v>
      </c>
      <c r="E38" s="4"/>
      <c r="F38" s="40"/>
      <c r="G38" s="13"/>
      <c r="H38" s="43"/>
      <c r="I38" s="17"/>
      <c r="J38" s="10"/>
      <c r="K38" s="10"/>
      <c r="L38" s="10"/>
      <c r="M38" s="10"/>
      <c r="N38" s="10"/>
      <c r="O38" s="10"/>
      <c r="P38" s="10"/>
      <c r="Q38" s="10"/>
      <c r="R38" s="10"/>
      <c r="S38" s="4" t="s">
        <v>1307</v>
      </c>
      <c r="T38" s="4" t="s">
        <v>32</v>
      </c>
      <c r="U38" s="4" t="s">
        <v>1307</v>
      </c>
      <c r="V38" s="50" t="s">
        <v>33</v>
      </c>
      <c r="W38" s="23"/>
      <c r="X38" s="4" t="s">
        <v>1307</v>
      </c>
      <c r="Y38" s="4" t="s">
        <v>32</v>
      </c>
      <c r="Z38" s="10" t="str">
        <f>_xlfn.DISPIMG("ID_58C9D59DB576458786E0DCF18785A368",1)</f>
        <v>=DISPIMG("ID_58C9D59DB576458786E0DCF18785A368",1)</v>
      </c>
      <c r="AA38" s="10" t="s">
        <v>34</v>
      </c>
      <c r="AB38" s="10" t="s">
        <v>56</v>
      </c>
      <c r="AC38" s="10"/>
    </row>
    <row r="39" s="2" customFormat="1" ht="66" hidden="1" spans="1:29">
      <c r="A39" s="10" t="s">
        <v>1259</v>
      </c>
      <c r="B39" s="4" t="s">
        <v>53</v>
      </c>
      <c r="C39" s="4" t="s">
        <v>262</v>
      </c>
      <c r="D39" s="4" t="s">
        <v>262</v>
      </c>
      <c r="E39" s="4"/>
      <c r="F39" s="40"/>
      <c r="G39" s="13"/>
      <c r="H39" s="43"/>
      <c r="I39" s="17"/>
      <c r="J39" s="10"/>
      <c r="K39" s="10"/>
      <c r="L39" s="10"/>
      <c r="M39" s="10"/>
      <c r="N39" s="10"/>
      <c r="O39" s="10"/>
      <c r="P39" s="10"/>
      <c r="Q39" s="10"/>
      <c r="R39" s="10"/>
      <c r="S39" s="4" t="s">
        <v>1308</v>
      </c>
      <c r="T39" s="4" t="s">
        <v>32</v>
      </c>
      <c r="U39" s="4" t="s">
        <v>1308</v>
      </c>
      <c r="V39" s="50" t="s">
        <v>33</v>
      </c>
      <c r="W39" s="23"/>
      <c r="X39" s="4" t="s">
        <v>1308</v>
      </c>
      <c r="Y39" s="4" t="s">
        <v>32</v>
      </c>
      <c r="Z39" s="10" t="str">
        <f>_xlfn.DISPIMG("ID_D155F051103B4BAB961D63DF1FC17F9D",1)</f>
        <v>=DISPIMG("ID_D155F051103B4BAB961D63DF1FC17F9D",1)</v>
      </c>
      <c r="AA39" s="10" t="s">
        <v>34</v>
      </c>
      <c r="AB39" s="10" t="s">
        <v>56</v>
      </c>
      <c r="AC39" s="10"/>
    </row>
    <row r="40" s="2" customFormat="1" ht="66" hidden="1" spans="1:29">
      <c r="A40" s="10" t="s">
        <v>1259</v>
      </c>
      <c r="B40" s="4" t="s">
        <v>53</v>
      </c>
      <c r="C40" s="4" t="s">
        <v>262</v>
      </c>
      <c r="D40" s="4" t="s">
        <v>262</v>
      </c>
      <c r="E40" s="4"/>
      <c r="F40" s="40"/>
      <c r="G40" s="13"/>
      <c r="H40" s="43"/>
      <c r="I40" s="17"/>
      <c r="J40" s="10"/>
      <c r="K40" s="10"/>
      <c r="L40" s="10"/>
      <c r="M40" s="10"/>
      <c r="N40" s="10"/>
      <c r="O40" s="10"/>
      <c r="P40" s="10"/>
      <c r="Q40" s="10"/>
      <c r="R40" s="10"/>
      <c r="S40" s="4" t="s">
        <v>1309</v>
      </c>
      <c r="T40" s="4" t="s">
        <v>32</v>
      </c>
      <c r="U40" s="4" t="s">
        <v>1309</v>
      </c>
      <c r="V40" s="50" t="s">
        <v>33</v>
      </c>
      <c r="W40" s="23"/>
      <c r="X40" s="4" t="s">
        <v>1309</v>
      </c>
      <c r="Y40" s="4" t="s">
        <v>32</v>
      </c>
      <c r="Z40" s="10" t="str">
        <f>_xlfn.DISPIMG("ID_C296A20E82AF47318EF95993762B8A42",1)</f>
        <v>=DISPIMG("ID_C296A20E82AF47318EF95993762B8A42",1)</v>
      </c>
      <c r="AA40" s="10" t="s">
        <v>34</v>
      </c>
      <c r="AB40" s="10" t="s">
        <v>56</v>
      </c>
      <c r="AC40" s="10"/>
    </row>
    <row r="41" s="2" customFormat="1" ht="66" hidden="1" spans="1:29">
      <c r="A41" s="10" t="s">
        <v>1259</v>
      </c>
      <c r="B41" s="4" t="s">
        <v>53</v>
      </c>
      <c r="C41" s="4" t="s">
        <v>262</v>
      </c>
      <c r="D41" s="4" t="s">
        <v>262</v>
      </c>
      <c r="E41" s="4"/>
      <c r="F41" s="40"/>
      <c r="G41" s="13"/>
      <c r="H41" s="43"/>
      <c r="I41" s="17"/>
      <c r="J41" s="10"/>
      <c r="K41" s="10"/>
      <c r="L41" s="10"/>
      <c r="M41" s="10"/>
      <c r="N41" s="10"/>
      <c r="O41" s="10"/>
      <c r="P41" s="10"/>
      <c r="Q41" s="10"/>
      <c r="R41" s="10"/>
      <c r="S41" s="4" t="s">
        <v>1310</v>
      </c>
      <c r="T41" s="4" t="s">
        <v>32</v>
      </c>
      <c r="U41" s="4" t="s">
        <v>1310</v>
      </c>
      <c r="V41" s="50" t="s">
        <v>33</v>
      </c>
      <c r="W41" s="23"/>
      <c r="X41" s="4" t="s">
        <v>1310</v>
      </c>
      <c r="Y41" s="4" t="s">
        <v>32</v>
      </c>
      <c r="Z41" s="10" t="str">
        <f>_xlfn.DISPIMG("ID_F8EB492DFCD04D6BAA0ADEB90248C93E",1)</f>
        <v>=DISPIMG("ID_F8EB492DFCD04D6BAA0ADEB90248C93E",1)</v>
      </c>
      <c r="AA41" s="10" t="s">
        <v>34</v>
      </c>
      <c r="AB41" s="10" t="s">
        <v>56</v>
      </c>
      <c r="AC41" s="10"/>
    </row>
    <row r="42" s="2" customFormat="1" ht="66" hidden="1" spans="1:29">
      <c r="A42" s="10" t="s">
        <v>1259</v>
      </c>
      <c r="B42" s="4" t="s">
        <v>53</v>
      </c>
      <c r="C42" s="4" t="s">
        <v>262</v>
      </c>
      <c r="D42" s="4" t="s">
        <v>262</v>
      </c>
      <c r="E42" s="4"/>
      <c r="F42" s="40"/>
      <c r="G42" s="13"/>
      <c r="H42" s="43"/>
      <c r="I42" s="17"/>
      <c r="J42" s="10"/>
      <c r="K42" s="10"/>
      <c r="L42" s="10"/>
      <c r="M42" s="10"/>
      <c r="N42" s="10"/>
      <c r="O42" s="10"/>
      <c r="P42" s="10"/>
      <c r="Q42" s="10"/>
      <c r="R42" s="10"/>
      <c r="S42" s="4" t="s">
        <v>1311</v>
      </c>
      <c r="T42" s="4" t="s">
        <v>32</v>
      </c>
      <c r="U42" s="4" t="s">
        <v>1311</v>
      </c>
      <c r="V42" s="50" t="s">
        <v>33</v>
      </c>
      <c r="W42" s="23"/>
      <c r="X42" s="4" t="s">
        <v>1311</v>
      </c>
      <c r="Y42" s="4" t="s">
        <v>32</v>
      </c>
      <c r="Z42" s="10" t="str">
        <f>_xlfn.DISPIMG("ID_60E623F45B8E4F8B8BD534D6FD01C315",1)</f>
        <v>=DISPIMG("ID_60E623F45B8E4F8B8BD534D6FD01C315",1)</v>
      </c>
      <c r="AA42" s="10" t="s">
        <v>34</v>
      </c>
      <c r="AB42" s="10" t="s">
        <v>56</v>
      </c>
      <c r="AC42" s="10"/>
    </row>
    <row r="43" s="2" customFormat="1" ht="66" hidden="1" spans="1:29">
      <c r="A43" s="10" t="s">
        <v>1259</v>
      </c>
      <c r="B43" s="4" t="s">
        <v>53</v>
      </c>
      <c r="C43" s="4" t="s">
        <v>262</v>
      </c>
      <c r="D43" s="4" t="s">
        <v>262</v>
      </c>
      <c r="E43" s="4"/>
      <c r="F43" s="40"/>
      <c r="G43" s="13"/>
      <c r="H43" s="42"/>
      <c r="I43" s="17"/>
      <c r="J43" s="10"/>
      <c r="K43" s="10"/>
      <c r="L43" s="10"/>
      <c r="M43" s="10"/>
      <c r="N43" s="10"/>
      <c r="O43" s="10"/>
      <c r="P43" s="10"/>
      <c r="Q43" s="10"/>
      <c r="R43" s="10"/>
      <c r="S43" s="4" t="s">
        <v>1312</v>
      </c>
      <c r="T43" s="4" t="s">
        <v>32</v>
      </c>
      <c r="U43" s="4" t="s">
        <v>1312</v>
      </c>
      <c r="V43" s="50" t="s">
        <v>33</v>
      </c>
      <c r="W43" s="23"/>
      <c r="X43" s="4" t="s">
        <v>1312</v>
      </c>
      <c r="Y43" s="4" t="s">
        <v>32</v>
      </c>
      <c r="Z43" s="10" t="str">
        <f>_xlfn.DISPIMG("ID_607E0E5CD9EF48E48B3A8DAFF35D8D9A",1)</f>
        <v>=DISPIMG("ID_607E0E5CD9EF48E48B3A8DAFF35D8D9A",1)</v>
      </c>
      <c r="AA43" s="10" t="s">
        <v>34</v>
      </c>
      <c r="AB43" s="10" t="s">
        <v>56</v>
      </c>
      <c r="AC43" s="10"/>
    </row>
    <row r="44" s="2" customFormat="1" ht="66" spans="1:29">
      <c r="A44" s="10" t="s">
        <v>1259</v>
      </c>
      <c r="B44" s="4" t="s">
        <v>1313</v>
      </c>
      <c r="C44" s="4" t="s">
        <v>1314</v>
      </c>
      <c r="D44" s="40" t="s">
        <v>1315</v>
      </c>
      <c r="E44" s="4"/>
      <c r="F44" s="40"/>
      <c r="G44" s="13"/>
      <c r="H44" s="44" t="s">
        <v>1315</v>
      </c>
      <c r="I44" s="17"/>
      <c r="J44" s="10"/>
      <c r="K44" s="10"/>
      <c r="L44" s="10"/>
      <c r="M44" s="10"/>
      <c r="N44" s="10"/>
      <c r="O44" s="10"/>
      <c r="P44" s="10"/>
      <c r="Q44" s="10"/>
      <c r="R44" s="10"/>
      <c r="S44" s="40" t="s">
        <v>1316</v>
      </c>
      <c r="T44" s="4" t="s">
        <v>32</v>
      </c>
      <c r="U44" s="40" t="s">
        <v>1316</v>
      </c>
      <c r="V44" s="50" t="s">
        <v>33</v>
      </c>
      <c r="W44" s="23"/>
      <c r="X44" s="40" t="s">
        <v>1316</v>
      </c>
      <c r="Y44" s="4" t="s">
        <v>32</v>
      </c>
      <c r="Z44" s="10" t="str">
        <f>_xlfn.DISPIMG("ID_A163DB48603A4B388D0892B47A22AE9A",1)</f>
        <v>=DISPIMG("ID_A163DB48603A4B388D0892B47A22AE9A",1)</v>
      </c>
      <c r="AA44" s="10" t="s">
        <v>34</v>
      </c>
      <c r="AB44" s="10" t="s">
        <v>56</v>
      </c>
      <c r="AC44" s="10"/>
    </row>
    <row r="45" s="2" customFormat="1" ht="99" spans="1:29">
      <c r="A45" s="10" t="s">
        <v>1259</v>
      </c>
      <c r="B45" s="4" t="s">
        <v>1313</v>
      </c>
      <c r="C45" s="4" t="s">
        <v>1314</v>
      </c>
      <c r="D45" s="40" t="s">
        <v>1315</v>
      </c>
      <c r="E45" s="4"/>
      <c r="F45" s="40"/>
      <c r="G45" s="13"/>
      <c r="H45" s="45"/>
      <c r="I45" s="17"/>
      <c r="J45" s="10"/>
      <c r="K45" s="10"/>
      <c r="L45" s="10"/>
      <c r="M45" s="10"/>
      <c r="N45" s="10"/>
      <c r="O45" s="10"/>
      <c r="P45" s="10"/>
      <c r="Q45" s="10"/>
      <c r="R45" s="10"/>
      <c r="S45" s="4" t="s">
        <v>1317</v>
      </c>
      <c r="T45" s="4" t="s">
        <v>68</v>
      </c>
      <c r="U45" s="4" t="s">
        <v>1318</v>
      </c>
      <c r="V45" s="50" t="s">
        <v>33</v>
      </c>
      <c r="W45" s="23"/>
      <c r="X45" s="4" t="s">
        <v>1317</v>
      </c>
      <c r="Y45" s="4" t="s">
        <v>68</v>
      </c>
      <c r="Z45" s="10" t="str">
        <f>_xlfn.DISPIMG("ID_45208DBE7C6046F8ABC5ACE648CD04B6",1)</f>
        <v>=DISPIMG("ID_45208DBE7C6046F8ABC5ACE648CD04B6",1)</v>
      </c>
      <c r="AA45" s="10" t="s">
        <v>34</v>
      </c>
      <c r="AB45" s="10" t="s">
        <v>1319</v>
      </c>
      <c r="AC45" s="10"/>
    </row>
    <row r="46" s="2" customFormat="1" ht="66" spans="1:29">
      <c r="A46" s="10" t="s">
        <v>1259</v>
      </c>
      <c r="B46" s="4" t="s">
        <v>1313</v>
      </c>
      <c r="C46" s="4" t="s">
        <v>1314</v>
      </c>
      <c r="D46" s="40" t="s">
        <v>1315</v>
      </c>
      <c r="E46" s="4"/>
      <c r="F46" s="40"/>
      <c r="G46" s="13"/>
      <c r="H46" s="45"/>
      <c r="I46" s="17"/>
      <c r="J46" s="10"/>
      <c r="K46" s="10"/>
      <c r="L46" s="10"/>
      <c r="M46" s="10"/>
      <c r="N46" s="10"/>
      <c r="O46" s="10"/>
      <c r="P46" s="10"/>
      <c r="Q46" s="10"/>
      <c r="R46" s="10"/>
      <c r="S46" s="4" t="s">
        <v>1320</v>
      </c>
      <c r="T46" s="4" t="s">
        <v>68</v>
      </c>
      <c r="U46" s="4" t="s">
        <v>1321</v>
      </c>
      <c r="V46" s="50" t="s">
        <v>33</v>
      </c>
      <c r="W46" s="23"/>
      <c r="X46" s="4" t="s">
        <v>1320</v>
      </c>
      <c r="Y46" s="4" t="s">
        <v>68</v>
      </c>
      <c r="Z46" s="10" t="str">
        <f>_xlfn.DISPIMG("ID_0DEEF1B26A0A41D6ADB3347B227E1B69",1)</f>
        <v>=DISPIMG("ID_0DEEF1B26A0A41D6ADB3347B227E1B69",1)</v>
      </c>
      <c r="AA46" s="10" t="s">
        <v>34</v>
      </c>
      <c r="AB46" s="10" t="s">
        <v>1322</v>
      </c>
      <c r="AC46" s="10"/>
    </row>
    <row r="47" s="2" customFormat="1" ht="82.5" spans="1:29">
      <c r="A47" s="10" t="s">
        <v>1259</v>
      </c>
      <c r="B47" s="4" t="s">
        <v>1313</v>
      </c>
      <c r="C47" s="4" t="s">
        <v>1314</v>
      </c>
      <c r="D47" s="40" t="s">
        <v>1315</v>
      </c>
      <c r="E47" s="4"/>
      <c r="F47" s="40"/>
      <c r="G47" s="13"/>
      <c r="H47" s="45"/>
      <c r="I47" s="17"/>
      <c r="J47" s="10"/>
      <c r="K47" s="10"/>
      <c r="L47" s="10"/>
      <c r="M47" s="10"/>
      <c r="N47" s="10"/>
      <c r="O47" s="10"/>
      <c r="P47" s="10"/>
      <c r="Q47" s="10"/>
      <c r="R47" s="10"/>
      <c r="S47" s="4" t="s">
        <v>1323</v>
      </c>
      <c r="T47" s="4" t="s">
        <v>68</v>
      </c>
      <c r="U47" s="4" t="s">
        <v>1324</v>
      </c>
      <c r="V47" s="50" t="s">
        <v>33</v>
      </c>
      <c r="W47" s="23"/>
      <c r="X47" s="4" t="s">
        <v>1323</v>
      </c>
      <c r="Y47" s="4" t="s">
        <v>68</v>
      </c>
      <c r="Z47" s="10" t="str">
        <f>_xlfn.DISPIMG("ID_D1FDD41F9D6B4D04AC822D482530AE14",1)</f>
        <v>=DISPIMG("ID_D1FDD41F9D6B4D04AC822D482530AE14",1)</v>
      </c>
      <c r="AA47" s="10" t="s">
        <v>34</v>
      </c>
      <c r="AB47" s="10" t="s">
        <v>1325</v>
      </c>
      <c r="AC47" s="10"/>
    </row>
    <row r="48" s="2" customFormat="1" ht="66" spans="1:29">
      <c r="A48" s="10" t="s">
        <v>1259</v>
      </c>
      <c r="B48" s="4" t="s">
        <v>1313</v>
      </c>
      <c r="C48" s="4" t="s">
        <v>1314</v>
      </c>
      <c r="D48" s="40" t="s">
        <v>1315</v>
      </c>
      <c r="E48" s="4"/>
      <c r="F48" s="40"/>
      <c r="G48" s="13"/>
      <c r="H48" s="45"/>
      <c r="I48" s="17"/>
      <c r="J48" s="10"/>
      <c r="K48" s="10"/>
      <c r="L48" s="10"/>
      <c r="M48" s="10"/>
      <c r="N48" s="10"/>
      <c r="O48" s="10"/>
      <c r="P48" s="10"/>
      <c r="Q48" s="10"/>
      <c r="R48" s="10"/>
      <c r="S48" s="4" t="s">
        <v>1326</v>
      </c>
      <c r="T48" s="4" t="s">
        <v>68</v>
      </c>
      <c r="U48" s="4" t="s">
        <v>1327</v>
      </c>
      <c r="V48" s="50" t="s">
        <v>33</v>
      </c>
      <c r="W48" s="23"/>
      <c r="X48" s="4" t="s">
        <v>1326</v>
      </c>
      <c r="Y48" s="4" t="s">
        <v>68</v>
      </c>
      <c r="Z48" s="10" t="str">
        <f>_xlfn.DISPIMG("ID_910AF0A7269B4BD091D96FEADF329CF0",1)</f>
        <v>=DISPIMG("ID_910AF0A7269B4BD091D96FEADF329CF0",1)</v>
      </c>
      <c r="AA48" s="10" t="s">
        <v>34</v>
      </c>
      <c r="AB48" s="10" t="s">
        <v>1328</v>
      </c>
      <c r="AC48" s="10"/>
    </row>
    <row r="49" s="2" customFormat="1" ht="66" spans="1:29">
      <c r="A49" s="10" t="s">
        <v>1259</v>
      </c>
      <c r="B49" s="4" t="s">
        <v>1313</v>
      </c>
      <c r="C49" s="4" t="s">
        <v>1329</v>
      </c>
      <c r="D49" s="40" t="s">
        <v>1315</v>
      </c>
      <c r="E49" s="4"/>
      <c r="F49" s="40"/>
      <c r="G49" s="13"/>
      <c r="H49" s="45"/>
      <c r="I49" s="17"/>
      <c r="J49" s="10"/>
      <c r="K49" s="10"/>
      <c r="L49" s="10"/>
      <c r="M49" s="10"/>
      <c r="N49" s="10"/>
      <c r="O49" s="10"/>
      <c r="P49" s="10"/>
      <c r="Q49" s="10"/>
      <c r="R49" s="10"/>
      <c r="S49" s="4" t="s">
        <v>1330</v>
      </c>
      <c r="T49" s="4" t="s">
        <v>32</v>
      </c>
      <c r="U49" s="4" t="s">
        <v>1330</v>
      </c>
      <c r="V49" s="50" t="s">
        <v>33</v>
      </c>
      <c r="W49" s="23"/>
      <c r="X49" s="4" t="s">
        <v>1330</v>
      </c>
      <c r="Y49" s="4" t="s">
        <v>32</v>
      </c>
      <c r="Z49" s="10" t="str">
        <f>_xlfn.DISPIMG("ID_B0D3F9278F884512BE6DE06B97BBAC1E",1)</f>
        <v>=DISPIMG("ID_B0D3F9278F884512BE6DE06B97BBAC1E",1)</v>
      </c>
      <c r="AA49" s="10" t="s">
        <v>34</v>
      </c>
      <c r="AB49" s="10" t="s">
        <v>56</v>
      </c>
      <c r="AC49" s="10"/>
    </row>
    <row r="50" s="2" customFormat="1" ht="115.5" spans="1:29">
      <c r="A50" s="10" t="s">
        <v>1259</v>
      </c>
      <c r="B50" s="4" t="s">
        <v>1313</v>
      </c>
      <c r="C50" s="4" t="s">
        <v>1329</v>
      </c>
      <c r="D50" s="40" t="s">
        <v>1315</v>
      </c>
      <c r="E50" s="4"/>
      <c r="F50" s="40"/>
      <c r="G50" s="13"/>
      <c r="H50" s="46"/>
      <c r="I50" s="17"/>
      <c r="J50" s="10"/>
      <c r="K50" s="10"/>
      <c r="L50" s="10"/>
      <c r="M50" s="10"/>
      <c r="N50" s="10"/>
      <c r="O50" s="10"/>
      <c r="P50" s="10"/>
      <c r="Q50" s="10"/>
      <c r="R50" s="10"/>
      <c r="S50" s="4" t="s">
        <v>1331</v>
      </c>
      <c r="T50" s="4" t="s">
        <v>68</v>
      </c>
      <c r="U50" s="4" t="s">
        <v>1332</v>
      </c>
      <c r="V50" s="50" t="s">
        <v>33</v>
      </c>
      <c r="W50" s="23"/>
      <c r="X50" s="4" t="s">
        <v>1331</v>
      </c>
      <c r="Y50" s="4" t="s">
        <v>68</v>
      </c>
      <c r="Z50" s="10" t="str">
        <f>_xlfn.DISPIMG("ID_9782FC5844674DD3B71FF37D51500379",1)</f>
        <v>=DISPIMG("ID_9782FC5844674DD3B71FF37D51500379",1)</v>
      </c>
      <c r="AA50" s="10" t="s">
        <v>34</v>
      </c>
      <c r="AB50" s="10" t="s">
        <v>1333</v>
      </c>
      <c r="AC50" s="10"/>
    </row>
    <row r="51" s="2" customFormat="1" ht="66" spans="1:29">
      <c r="A51" s="10" t="s">
        <v>1259</v>
      </c>
      <c r="B51" s="4" t="s">
        <v>1313</v>
      </c>
      <c r="C51" s="4" t="s">
        <v>1334</v>
      </c>
      <c r="D51" s="4" t="s">
        <v>136</v>
      </c>
      <c r="E51" s="4"/>
      <c r="F51" s="40"/>
      <c r="G51" s="13"/>
      <c r="H51" s="41" t="s">
        <v>136</v>
      </c>
      <c r="I51" s="17"/>
      <c r="J51" s="10"/>
      <c r="K51" s="10"/>
      <c r="L51" s="10"/>
      <c r="M51" s="10"/>
      <c r="N51" s="10"/>
      <c r="O51" s="10"/>
      <c r="P51" s="10"/>
      <c r="Q51" s="10"/>
      <c r="R51" s="10"/>
      <c r="S51" s="4" t="s">
        <v>1335</v>
      </c>
      <c r="T51" s="4" t="s">
        <v>32</v>
      </c>
      <c r="U51" s="4" t="s">
        <v>1335</v>
      </c>
      <c r="V51" s="50" t="s">
        <v>33</v>
      </c>
      <c r="W51" s="23"/>
      <c r="X51" s="4" t="s">
        <v>1335</v>
      </c>
      <c r="Y51" s="4" t="s">
        <v>32</v>
      </c>
      <c r="Z51" s="10" t="str">
        <f>_xlfn.DISPIMG("ID_A28358FD34EF49B5AC8F553FD9F86206",1)</f>
        <v>=DISPIMG("ID_A28358FD34EF49B5AC8F553FD9F86206",1)</v>
      </c>
      <c r="AA51" s="10" t="s">
        <v>34</v>
      </c>
      <c r="AB51" s="10" t="s">
        <v>56</v>
      </c>
      <c r="AC51" s="10"/>
    </row>
    <row r="52" s="2" customFormat="1" ht="99" spans="1:29">
      <c r="A52" s="10" t="s">
        <v>1259</v>
      </c>
      <c r="B52" s="4" t="s">
        <v>1313</v>
      </c>
      <c r="C52" s="4" t="s">
        <v>1334</v>
      </c>
      <c r="D52" s="4" t="s">
        <v>136</v>
      </c>
      <c r="E52" s="4"/>
      <c r="F52" s="40"/>
      <c r="G52" s="13"/>
      <c r="H52" s="43"/>
      <c r="I52" s="17"/>
      <c r="J52" s="10"/>
      <c r="K52" s="10"/>
      <c r="L52" s="10"/>
      <c r="M52" s="10"/>
      <c r="N52" s="10"/>
      <c r="O52" s="10"/>
      <c r="P52" s="10"/>
      <c r="Q52" s="10"/>
      <c r="R52" s="10"/>
      <c r="S52" s="4" t="s">
        <v>1336</v>
      </c>
      <c r="T52" s="4" t="s">
        <v>68</v>
      </c>
      <c r="U52" s="4" t="s">
        <v>1337</v>
      </c>
      <c r="V52" s="50" t="s">
        <v>33</v>
      </c>
      <c r="W52" s="23"/>
      <c r="X52" s="4" t="s">
        <v>1336</v>
      </c>
      <c r="Y52" s="4" t="s">
        <v>68</v>
      </c>
      <c r="Z52" s="10" t="str">
        <f>_xlfn.DISPIMG("ID_D97A8681A2264D84A98292A77E8CDE97",1)</f>
        <v>=DISPIMG("ID_D97A8681A2264D84A98292A77E8CDE97",1)</v>
      </c>
      <c r="AA52" s="10" t="s">
        <v>34</v>
      </c>
      <c r="AB52" s="10" t="s">
        <v>1338</v>
      </c>
      <c r="AC52" s="10"/>
    </row>
    <row r="53" s="2" customFormat="1" ht="66" spans="1:29">
      <c r="A53" s="10" t="s">
        <v>1259</v>
      </c>
      <c r="B53" s="4" t="s">
        <v>1313</v>
      </c>
      <c r="C53" s="4" t="s">
        <v>1334</v>
      </c>
      <c r="D53" s="4" t="s">
        <v>136</v>
      </c>
      <c r="E53" s="4"/>
      <c r="F53" s="40"/>
      <c r="G53" s="13"/>
      <c r="H53" s="43"/>
      <c r="I53" s="17"/>
      <c r="J53" s="10"/>
      <c r="K53" s="10"/>
      <c r="L53" s="10"/>
      <c r="M53" s="10"/>
      <c r="N53" s="10"/>
      <c r="O53" s="10"/>
      <c r="P53" s="10"/>
      <c r="Q53" s="10"/>
      <c r="R53" s="10"/>
      <c r="S53" s="4" t="s">
        <v>1339</v>
      </c>
      <c r="T53" s="4" t="s">
        <v>32</v>
      </c>
      <c r="U53" s="4" t="s">
        <v>1339</v>
      </c>
      <c r="V53" s="50" t="s">
        <v>33</v>
      </c>
      <c r="W53" s="23"/>
      <c r="X53" s="4" t="s">
        <v>1339</v>
      </c>
      <c r="Y53" s="4" t="s">
        <v>32</v>
      </c>
      <c r="Z53" s="10" t="str">
        <f>_xlfn.DISPIMG("ID_DB1B3A232E27471983D7CD10F7F17810",1)</f>
        <v>=DISPIMG("ID_DB1B3A232E27471983D7CD10F7F17810",1)</v>
      </c>
      <c r="AA53" s="10" t="s">
        <v>34</v>
      </c>
      <c r="AB53" s="10" t="s">
        <v>56</v>
      </c>
      <c r="AC53" s="10"/>
    </row>
    <row r="54" s="2" customFormat="1" ht="165" spans="1:29">
      <c r="A54" s="10" t="s">
        <v>1259</v>
      </c>
      <c r="B54" s="4" t="s">
        <v>1313</v>
      </c>
      <c r="C54" s="4" t="s">
        <v>1334</v>
      </c>
      <c r="D54" s="4" t="s">
        <v>136</v>
      </c>
      <c r="E54" s="4"/>
      <c r="F54" s="40"/>
      <c r="G54" s="13"/>
      <c r="H54" s="43"/>
      <c r="I54" s="17"/>
      <c r="J54" s="10"/>
      <c r="K54" s="10"/>
      <c r="L54" s="10"/>
      <c r="M54" s="10"/>
      <c r="N54" s="10"/>
      <c r="O54" s="10"/>
      <c r="P54" s="10"/>
      <c r="Q54" s="10"/>
      <c r="R54" s="10"/>
      <c r="S54" s="4" t="s">
        <v>1340</v>
      </c>
      <c r="T54" s="4" t="s">
        <v>68</v>
      </c>
      <c r="U54" s="4" t="s">
        <v>1341</v>
      </c>
      <c r="V54" s="50" t="s">
        <v>136</v>
      </c>
      <c r="W54" s="23"/>
      <c r="X54" s="4" t="s">
        <v>1340</v>
      </c>
      <c r="Y54" s="4" t="s">
        <v>68</v>
      </c>
      <c r="Z54" s="10" t="str">
        <f>_xlfn.DISPIMG("ID_A3E406607B4747E9BE394F411334181D",1)</f>
        <v>=DISPIMG("ID_A3E406607B4747E9BE394F411334181D",1)</v>
      </c>
      <c r="AA54" s="10" t="s">
        <v>34</v>
      </c>
      <c r="AB54" s="10" t="s">
        <v>1342</v>
      </c>
      <c r="AC54" s="10"/>
    </row>
    <row r="55" s="2" customFormat="1" ht="214.5" spans="1:29">
      <c r="A55" s="10" t="s">
        <v>1259</v>
      </c>
      <c r="B55" s="4" t="s">
        <v>1313</v>
      </c>
      <c r="C55" s="4" t="s">
        <v>1334</v>
      </c>
      <c r="D55" s="4" t="s">
        <v>136</v>
      </c>
      <c r="E55" s="4"/>
      <c r="F55" s="40"/>
      <c r="G55" s="13"/>
      <c r="H55" s="42"/>
      <c r="I55" s="17"/>
      <c r="J55" s="10"/>
      <c r="K55" s="10"/>
      <c r="L55" s="10"/>
      <c r="M55" s="10"/>
      <c r="N55" s="10"/>
      <c r="O55" s="10"/>
      <c r="P55" s="10"/>
      <c r="Q55" s="10"/>
      <c r="R55" s="10"/>
      <c r="S55" s="4" t="s">
        <v>1343</v>
      </c>
      <c r="T55" s="4" t="s">
        <v>68</v>
      </c>
      <c r="U55" s="4" t="s">
        <v>1344</v>
      </c>
      <c r="V55" s="50" t="s">
        <v>136</v>
      </c>
      <c r="W55" s="23"/>
      <c r="X55" s="4" t="s">
        <v>1343</v>
      </c>
      <c r="Y55" s="4" t="s">
        <v>68</v>
      </c>
      <c r="Z55" s="10"/>
      <c r="AA55" s="10" t="s">
        <v>34</v>
      </c>
      <c r="AB55" s="10" t="s">
        <v>1345</v>
      </c>
      <c r="AC55" s="10"/>
    </row>
    <row r="56" s="2" customFormat="1" ht="66" spans="1:29">
      <c r="A56" s="10" t="s">
        <v>1259</v>
      </c>
      <c r="B56" s="4" t="s">
        <v>1313</v>
      </c>
      <c r="C56" s="4" t="s">
        <v>1334</v>
      </c>
      <c r="D56" s="4" t="s">
        <v>210</v>
      </c>
      <c r="E56" s="4"/>
      <c r="F56" s="40"/>
      <c r="G56" s="13"/>
      <c r="H56" s="41" t="s">
        <v>210</v>
      </c>
      <c r="I56" s="17"/>
      <c r="J56" s="10"/>
      <c r="K56" s="10"/>
      <c r="L56" s="10"/>
      <c r="M56" s="10"/>
      <c r="N56" s="10"/>
      <c r="O56" s="10"/>
      <c r="P56" s="10"/>
      <c r="Q56" s="10"/>
      <c r="R56" s="10"/>
      <c r="S56" s="4" t="s">
        <v>1346</v>
      </c>
      <c r="T56" s="4" t="s">
        <v>32</v>
      </c>
      <c r="U56" s="4" t="s">
        <v>1346</v>
      </c>
      <c r="V56" s="50" t="s">
        <v>33</v>
      </c>
      <c r="W56" s="23"/>
      <c r="X56" s="4" t="s">
        <v>1346</v>
      </c>
      <c r="Y56" s="4" t="s">
        <v>32</v>
      </c>
      <c r="Z56" s="10" t="str">
        <f>_xlfn.DISPIMG("ID_CB8FA96816BA42C49ADE4AFB73C79A9F",1)</f>
        <v>=DISPIMG("ID_CB8FA96816BA42C49ADE4AFB73C79A9F",1)</v>
      </c>
      <c r="AA56" s="10" t="s">
        <v>34</v>
      </c>
      <c r="AB56" s="10" t="s">
        <v>56</v>
      </c>
      <c r="AC56" s="10"/>
    </row>
    <row r="57" s="2" customFormat="1" ht="99" spans="1:29">
      <c r="A57" s="10" t="s">
        <v>1259</v>
      </c>
      <c r="B57" s="4" t="s">
        <v>1313</v>
      </c>
      <c r="C57" s="4" t="s">
        <v>1334</v>
      </c>
      <c r="D57" s="4" t="s">
        <v>210</v>
      </c>
      <c r="E57" s="4"/>
      <c r="F57" s="40"/>
      <c r="G57" s="13"/>
      <c r="H57" s="43"/>
      <c r="I57" s="17"/>
      <c r="J57" s="10"/>
      <c r="K57" s="10"/>
      <c r="L57" s="10"/>
      <c r="M57" s="10"/>
      <c r="N57" s="10"/>
      <c r="O57" s="10"/>
      <c r="P57" s="10"/>
      <c r="Q57" s="10"/>
      <c r="R57" s="10"/>
      <c r="S57" s="4" t="s">
        <v>1347</v>
      </c>
      <c r="T57" s="4" t="s">
        <v>68</v>
      </c>
      <c r="U57" s="4" t="s">
        <v>1337</v>
      </c>
      <c r="V57" s="50" t="s">
        <v>210</v>
      </c>
      <c r="W57" s="23"/>
      <c r="X57" s="4" t="s">
        <v>1347</v>
      </c>
      <c r="Y57" s="4" t="s">
        <v>68</v>
      </c>
      <c r="Z57" s="10" t="str">
        <f>_xlfn.DISPIMG("ID_03DC1D5B61B148CFBA60D3CDFD7F8273",1)</f>
        <v>=DISPIMG("ID_03DC1D5B61B148CFBA60D3CDFD7F8273",1)</v>
      </c>
      <c r="AA57" s="10" t="s">
        <v>34</v>
      </c>
      <c r="AB57" s="10" t="s">
        <v>1348</v>
      </c>
      <c r="AC57" s="10"/>
    </row>
    <row r="58" s="2" customFormat="1" ht="66" spans="1:29">
      <c r="A58" s="10" t="s">
        <v>1259</v>
      </c>
      <c r="B58" s="4" t="s">
        <v>1313</v>
      </c>
      <c r="C58" s="4" t="s">
        <v>1334</v>
      </c>
      <c r="D58" s="4" t="s">
        <v>210</v>
      </c>
      <c r="E58" s="4"/>
      <c r="F58" s="40"/>
      <c r="G58" s="13"/>
      <c r="H58" s="43"/>
      <c r="I58" s="17"/>
      <c r="J58" s="10"/>
      <c r="K58" s="10"/>
      <c r="L58" s="10"/>
      <c r="M58" s="10"/>
      <c r="N58" s="10"/>
      <c r="O58" s="10"/>
      <c r="P58" s="10"/>
      <c r="Q58" s="10"/>
      <c r="R58" s="10"/>
      <c r="S58" s="4" t="s">
        <v>1349</v>
      </c>
      <c r="T58" s="4" t="s">
        <v>32</v>
      </c>
      <c r="U58" s="4" t="s">
        <v>1349</v>
      </c>
      <c r="V58" s="50" t="s">
        <v>33</v>
      </c>
      <c r="W58" s="23"/>
      <c r="X58" s="4" t="s">
        <v>1349</v>
      </c>
      <c r="Y58" s="4" t="s">
        <v>32</v>
      </c>
      <c r="Z58" s="10" t="str">
        <f>_xlfn.DISPIMG("ID_C30D9979BCDE414496570D2C1AD52B42",1)</f>
        <v>=DISPIMG("ID_C30D9979BCDE414496570D2C1AD52B42",1)</v>
      </c>
      <c r="AA58" s="10" t="s">
        <v>34</v>
      </c>
      <c r="AB58" s="10" t="s">
        <v>56</v>
      </c>
      <c r="AC58" s="10"/>
    </row>
    <row r="59" s="2" customFormat="1" ht="181.5" spans="1:29">
      <c r="A59" s="10" t="s">
        <v>1259</v>
      </c>
      <c r="B59" s="4" t="s">
        <v>1313</v>
      </c>
      <c r="C59" s="4" t="s">
        <v>1334</v>
      </c>
      <c r="D59" s="4" t="s">
        <v>210</v>
      </c>
      <c r="E59" s="4"/>
      <c r="F59" s="40"/>
      <c r="G59" s="13"/>
      <c r="H59" s="43"/>
      <c r="I59" s="17"/>
      <c r="J59" s="10"/>
      <c r="K59" s="10"/>
      <c r="L59" s="10"/>
      <c r="M59" s="10"/>
      <c r="N59" s="10"/>
      <c r="O59" s="10"/>
      <c r="P59" s="10"/>
      <c r="Q59" s="10"/>
      <c r="R59" s="10"/>
      <c r="S59" s="4" t="s">
        <v>1350</v>
      </c>
      <c r="T59" s="53" t="s">
        <v>68</v>
      </c>
      <c r="U59" s="4" t="s">
        <v>1351</v>
      </c>
      <c r="V59" s="50" t="s">
        <v>210</v>
      </c>
      <c r="W59" s="23"/>
      <c r="X59" s="4" t="s">
        <v>1350</v>
      </c>
      <c r="Y59" s="53" t="s">
        <v>68</v>
      </c>
      <c r="Z59" s="10" t="str">
        <f>_xlfn.DISPIMG("ID_C42187C4ACF547F1A22DA49669677CB7",1)</f>
        <v>=DISPIMG("ID_C42187C4ACF547F1A22DA49669677CB7",1)</v>
      </c>
      <c r="AA59" s="10" t="s">
        <v>34</v>
      </c>
      <c r="AB59" s="10" t="s">
        <v>1352</v>
      </c>
      <c r="AC59" s="10"/>
    </row>
    <row r="60" s="2" customFormat="1" ht="231" spans="1:29">
      <c r="A60" s="10" t="s">
        <v>1259</v>
      </c>
      <c r="B60" s="4" t="s">
        <v>1313</v>
      </c>
      <c r="C60" s="4" t="s">
        <v>1334</v>
      </c>
      <c r="D60" s="4" t="s">
        <v>210</v>
      </c>
      <c r="E60" s="4"/>
      <c r="F60" s="40"/>
      <c r="G60" s="13"/>
      <c r="H60" s="42"/>
      <c r="I60" s="17"/>
      <c r="J60" s="10"/>
      <c r="K60" s="10"/>
      <c r="L60" s="10"/>
      <c r="M60" s="10"/>
      <c r="N60" s="10"/>
      <c r="O60" s="10"/>
      <c r="P60" s="10"/>
      <c r="Q60" s="10"/>
      <c r="R60" s="10"/>
      <c r="S60" s="4" t="s">
        <v>1353</v>
      </c>
      <c r="T60" s="53" t="s">
        <v>68</v>
      </c>
      <c r="U60" s="4" t="s">
        <v>1354</v>
      </c>
      <c r="V60" s="50" t="s">
        <v>210</v>
      </c>
      <c r="W60" s="23"/>
      <c r="X60" s="4" t="s">
        <v>1353</v>
      </c>
      <c r="Y60" s="53" t="s">
        <v>68</v>
      </c>
      <c r="Z60" s="10" t="str">
        <f>_xlfn.DISPIMG("ID_2423A835CEDF4F27A9DB54E852F22F0C",1)</f>
        <v>=DISPIMG("ID_2423A835CEDF4F27A9DB54E852F22F0C",1)</v>
      </c>
      <c r="AA60" s="10" t="s">
        <v>34</v>
      </c>
      <c r="AB60" s="10" t="s">
        <v>1355</v>
      </c>
      <c r="AC60" s="10"/>
    </row>
    <row r="61" s="2" customFormat="1" ht="66" spans="1:29">
      <c r="A61" s="10" t="s">
        <v>1259</v>
      </c>
      <c r="B61" s="4" t="s">
        <v>1313</v>
      </c>
      <c r="C61" s="4" t="s">
        <v>1334</v>
      </c>
      <c r="D61" s="4" t="s">
        <v>269</v>
      </c>
      <c r="E61" s="4"/>
      <c r="F61" s="40"/>
      <c r="G61" s="13"/>
      <c r="H61" s="41" t="s">
        <v>269</v>
      </c>
      <c r="I61" s="17"/>
      <c r="J61" s="10"/>
      <c r="K61" s="10"/>
      <c r="L61" s="10"/>
      <c r="M61" s="10"/>
      <c r="N61" s="10"/>
      <c r="O61" s="10"/>
      <c r="P61" s="10"/>
      <c r="Q61" s="10"/>
      <c r="R61" s="10"/>
      <c r="S61" s="4" t="s">
        <v>1356</v>
      </c>
      <c r="T61" s="53" t="s">
        <v>32</v>
      </c>
      <c r="U61" s="4" t="s">
        <v>1356</v>
      </c>
      <c r="V61" s="50" t="s">
        <v>33</v>
      </c>
      <c r="W61" s="23"/>
      <c r="X61" s="4" t="s">
        <v>1356</v>
      </c>
      <c r="Y61" s="53" t="s">
        <v>32</v>
      </c>
      <c r="Z61" s="10" t="str">
        <f>_xlfn.DISPIMG("ID_F5F5CE75295A4C43BFF443E8013409FC",1)</f>
        <v>=DISPIMG("ID_F5F5CE75295A4C43BFF443E8013409FC",1)</v>
      </c>
      <c r="AA61" s="10" t="s">
        <v>34</v>
      </c>
      <c r="AB61" s="10" t="s">
        <v>56</v>
      </c>
      <c r="AC61" s="10"/>
    </row>
    <row r="62" s="2" customFormat="1" ht="100.8" spans="1:29">
      <c r="A62" s="10" t="s">
        <v>1259</v>
      </c>
      <c r="B62" s="4" t="s">
        <v>1313</v>
      </c>
      <c r="C62" s="4" t="s">
        <v>1334</v>
      </c>
      <c r="D62" s="4" t="s">
        <v>269</v>
      </c>
      <c r="E62" s="4"/>
      <c r="F62" s="40"/>
      <c r="G62" s="13"/>
      <c r="H62" s="43"/>
      <c r="I62" s="17"/>
      <c r="J62" s="10"/>
      <c r="K62" s="10"/>
      <c r="L62" s="10"/>
      <c r="M62" s="10"/>
      <c r="N62" s="10"/>
      <c r="O62" s="10"/>
      <c r="P62" s="10"/>
      <c r="Q62" s="10"/>
      <c r="R62" s="10"/>
      <c r="S62" s="4" t="s">
        <v>1357</v>
      </c>
      <c r="T62" s="53" t="s">
        <v>68</v>
      </c>
      <c r="U62" s="25" t="s">
        <v>1358</v>
      </c>
      <c r="V62" s="50" t="s">
        <v>33</v>
      </c>
      <c r="W62" s="23"/>
      <c r="X62" s="4" t="s">
        <v>1357</v>
      </c>
      <c r="Y62" s="53" t="s">
        <v>68</v>
      </c>
      <c r="Z62" s="10" t="str">
        <f>_xlfn.DISPIMG("ID_D27B3B13C493497498B71BAD11D54836",1)</f>
        <v>=DISPIMG("ID_D27B3B13C493497498B71BAD11D54836",1)</v>
      </c>
      <c r="AA62" s="10" t="s">
        <v>34</v>
      </c>
      <c r="AB62" s="10" t="s">
        <v>1359</v>
      </c>
      <c r="AC62" s="10"/>
    </row>
    <row r="63" s="2" customFormat="1" ht="66" spans="1:29">
      <c r="A63" s="10" t="s">
        <v>1259</v>
      </c>
      <c r="B63" s="4" t="s">
        <v>1313</v>
      </c>
      <c r="C63" s="4" t="s">
        <v>1334</v>
      </c>
      <c r="D63" s="4" t="s">
        <v>269</v>
      </c>
      <c r="E63" s="4"/>
      <c r="F63" s="40"/>
      <c r="G63" s="13"/>
      <c r="H63" s="43"/>
      <c r="I63" s="17"/>
      <c r="J63" s="10"/>
      <c r="K63" s="10"/>
      <c r="L63" s="10"/>
      <c r="M63" s="10"/>
      <c r="N63" s="10"/>
      <c r="O63" s="10"/>
      <c r="P63" s="10"/>
      <c r="Q63" s="10"/>
      <c r="R63" s="10"/>
      <c r="S63" s="4" t="s">
        <v>1360</v>
      </c>
      <c r="T63" s="53" t="s">
        <v>32</v>
      </c>
      <c r="U63" s="4" t="s">
        <v>1360</v>
      </c>
      <c r="V63" s="50" t="s">
        <v>33</v>
      </c>
      <c r="W63" s="23"/>
      <c r="X63" s="4" t="s">
        <v>1360</v>
      </c>
      <c r="Y63" s="53" t="s">
        <v>32</v>
      </c>
      <c r="Z63" s="10" t="str">
        <f>_xlfn.DISPIMG("ID_520B9A1CB94F4BD7993DB2A1FA56AD02",1)</f>
        <v>=DISPIMG("ID_520B9A1CB94F4BD7993DB2A1FA56AD02",1)</v>
      </c>
      <c r="AA63" s="10" t="s">
        <v>34</v>
      </c>
      <c r="AB63" s="10" t="s">
        <v>56</v>
      </c>
      <c r="AC63" s="10"/>
    </row>
    <row r="64" s="2" customFormat="1" ht="144" spans="1:29">
      <c r="A64" s="10" t="s">
        <v>1259</v>
      </c>
      <c r="B64" s="4" t="s">
        <v>1313</v>
      </c>
      <c r="C64" s="4" t="s">
        <v>1334</v>
      </c>
      <c r="D64" s="4" t="s">
        <v>269</v>
      </c>
      <c r="E64" s="4"/>
      <c r="F64" s="40"/>
      <c r="G64" s="13"/>
      <c r="H64" s="42"/>
      <c r="I64" s="17"/>
      <c r="J64" s="10"/>
      <c r="K64" s="10"/>
      <c r="L64" s="10"/>
      <c r="M64" s="10"/>
      <c r="N64" s="10"/>
      <c r="O64" s="10"/>
      <c r="P64" s="10"/>
      <c r="Q64" s="10"/>
      <c r="R64" s="10"/>
      <c r="S64" s="4" t="s">
        <v>1361</v>
      </c>
      <c r="T64" s="53" t="s">
        <v>68</v>
      </c>
      <c r="U64" s="25" t="s">
        <v>1362</v>
      </c>
      <c r="V64" s="50" t="s">
        <v>33</v>
      </c>
      <c r="W64" s="23"/>
      <c r="X64" s="4" t="s">
        <v>1361</v>
      </c>
      <c r="Y64" s="53" t="s">
        <v>68</v>
      </c>
      <c r="Z64" s="10" t="str">
        <f>_xlfn.DISPIMG("ID_5DA0D9CEA9A14A50A48C22FA473FE916",1)</f>
        <v>=DISPIMG("ID_5DA0D9CEA9A14A50A48C22FA473FE916",1)</v>
      </c>
      <c r="AA64" s="10" t="s">
        <v>34</v>
      </c>
      <c r="AB64" s="10" t="s">
        <v>1363</v>
      </c>
      <c r="AC64" s="10"/>
    </row>
    <row r="65" s="2" customFormat="1" ht="66" hidden="1" spans="1:29">
      <c r="A65" s="10" t="s">
        <v>1259</v>
      </c>
      <c r="B65" s="4" t="s">
        <v>1364</v>
      </c>
      <c r="C65" s="4" t="s">
        <v>1365</v>
      </c>
      <c r="D65" s="40" t="s">
        <v>810</v>
      </c>
      <c r="E65" s="4"/>
      <c r="F65" s="40"/>
      <c r="G65" s="13"/>
      <c r="H65" s="44" t="s">
        <v>810</v>
      </c>
      <c r="I65" s="17"/>
      <c r="J65" s="10"/>
      <c r="K65" s="10"/>
      <c r="L65" s="10"/>
      <c r="M65" s="10"/>
      <c r="N65" s="10"/>
      <c r="O65" s="10"/>
      <c r="P65" s="10"/>
      <c r="Q65" s="10"/>
      <c r="R65" s="10"/>
      <c r="S65" s="4" t="s">
        <v>1366</v>
      </c>
      <c r="T65" s="53" t="s">
        <v>32</v>
      </c>
      <c r="U65" s="4" t="s">
        <v>1366</v>
      </c>
      <c r="V65" s="50" t="s">
        <v>33</v>
      </c>
      <c r="W65" s="23"/>
      <c r="X65" s="4" t="s">
        <v>1366</v>
      </c>
      <c r="Y65" s="53" t="s">
        <v>32</v>
      </c>
      <c r="Z65" s="10" t="str">
        <f>_xlfn.DISPIMG("ID_622D6DC377FF470F85354C95EC6B745E",1)</f>
        <v>=DISPIMG("ID_622D6DC377FF470F85354C95EC6B745E",1)</v>
      </c>
      <c r="AA65" s="10" t="s">
        <v>34</v>
      </c>
      <c r="AB65" s="10" t="s">
        <v>56</v>
      </c>
      <c r="AC65" s="10"/>
    </row>
    <row r="66" s="2" customFormat="1" ht="66" hidden="1" spans="1:29">
      <c r="A66" s="10" t="s">
        <v>1259</v>
      </c>
      <c r="B66" s="4" t="s">
        <v>1364</v>
      </c>
      <c r="C66" s="4" t="s">
        <v>1365</v>
      </c>
      <c r="D66" s="40" t="s">
        <v>810</v>
      </c>
      <c r="E66" s="4"/>
      <c r="F66" s="40"/>
      <c r="G66" s="13"/>
      <c r="H66" s="45"/>
      <c r="I66" s="17"/>
      <c r="J66" s="10"/>
      <c r="K66" s="10"/>
      <c r="L66" s="10"/>
      <c r="M66" s="10"/>
      <c r="N66" s="10"/>
      <c r="O66" s="10"/>
      <c r="P66" s="10"/>
      <c r="Q66" s="10"/>
      <c r="R66" s="10"/>
      <c r="S66" s="4" t="s">
        <v>1367</v>
      </c>
      <c r="T66" s="53" t="s">
        <v>32</v>
      </c>
      <c r="U66" s="4" t="s">
        <v>1367</v>
      </c>
      <c r="V66" s="50" t="s">
        <v>33</v>
      </c>
      <c r="W66" s="23"/>
      <c r="X66" s="4" t="s">
        <v>1367</v>
      </c>
      <c r="Y66" s="53" t="s">
        <v>32</v>
      </c>
      <c r="Z66" s="10" t="str">
        <f>_xlfn.DISPIMG("ID_5E54F8129EA64C60A30B247FEA6CBF2C",1)</f>
        <v>=DISPIMG("ID_5E54F8129EA64C60A30B247FEA6CBF2C",1)</v>
      </c>
      <c r="AA66" s="10" t="s">
        <v>34</v>
      </c>
      <c r="AB66" s="10" t="s">
        <v>56</v>
      </c>
      <c r="AC66" s="10"/>
    </row>
    <row r="67" s="2" customFormat="1" ht="79.8" hidden="1" spans="1:29">
      <c r="A67" s="10" t="s">
        <v>1259</v>
      </c>
      <c r="B67" s="4" t="s">
        <v>1364</v>
      </c>
      <c r="C67" s="4" t="s">
        <v>1365</v>
      </c>
      <c r="D67" s="40" t="s">
        <v>810</v>
      </c>
      <c r="E67" s="4"/>
      <c r="F67" s="40"/>
      <c r="G67" s="13"/>
      <c r="H67" s="46"/>
      <c r="I67" s="17"/>
      <c r="J67" s="10"/>
      <c r="K67" s="10"/>
      <c r="L67" s="10"/>
      <c r="M67" s="10"/>
      <c r="N67" s="10"/>
      <c r="O67" s="10"/>
      <c r="P67" s="10"/>
      <c r="Q67" s="10"/>
      <c r="R67" s="10"/>
      <c r="S67" s="4" t="s">
        <v>1368</v>
      </c>
      <c r="T67" s="53" t="s">
        <v>58</v>
      </c>
      <c r="U67" s="4" t="s">
        <v>1368</v>
      </c>
      <c r="V67" s="50" t="s">
        <v>33</v>
      </c>
      <c r="W67" s="23"/>
      <c r="X67" s="4" t="s">
        <v>1368</v>
      </c>
      <c r="Y67" s="53" t="s">
        <v>58</v>
      </c>
      <c r="Z67" s="10" t="str">
        <f>_xlfn.DISPIMG("ID_CB9D5EE430F24247B18F67A6582D1A38",1)</f>
        <v>=DISPIMG("ID_CB9D5EE430F24247B18F67A6582D1A38",1)</v>
      </c>
      <c r="AA67" s="10" t="s">
        <v>34</v>
      </c>
      <c r="AB67" s="10" t="s">
        <v>1369</v>
      </c>
      <c r="AC67" s="10"/>
    </row>
    <row r="68" s="2" customFormat="1" ht="66" hidden="1" spans="1:29">
      <c r="A68" s="10" t="s">
        <v>1259</v>
      </c>
      <c r="B68" s="4" t="s">
        <v>1364</v>
      </c>
      <c r="C68" s="4" t="s">
        <v>1365</v>
      </c>
      <c r="D68" s="40" t="s">
        <v>1370</v>
      </c>
      <c r="E68" s="4"/>
      <c r="F68" s="40"/>
      <c r="G68" s="13"/>
      <c r="H68" s="44" t="s">
        <v>1370</v>
      </c>
      <c r="I68" s="17"/>
      <c r="J68" s="10"/>
      <c r="K68" s="10"/>
      <c r="L68" s="10"/>
      <c r="M68" s="10"/>
      <c r="N68" s="10"/>
      <c r="O68" s="10"/>
      <c r="P68" s="10"/>
      <c r="Q68" s="10"/>
      <c r="R68" s="10"/>
      <c r="S68" s="4" t="s">
        <v>1371</v>
      </c>
      <c r="T68" s="53" t="s">
        <v>32</v>
      </c>
      <c r="U68" s="4" t="s">
        <v>1371</v>
      </c>
      <c r="V68" s="50" t="s">
        <v>33</v>
      </c>
      <c r="W68" s="23"/>
      <c r="X68" s="4" t="s">
        <v>1371</v>
      </c>
      <c r="Y68" s="53" t="s">
        <v>32</v>
      </c>
      <c r="Z68" s="10" t="str">
        <f>_xlfn.DISPIMG("ID_E17530AA59BD49B6BBAA29402E44758C",1)</f>
        <v>=DISPIMG("ID_E17530AA59BD49B6BBAA29402E44758C",1)</v>
      </c>
      <c r="AA68" s="10" t="s">
        <v>34</v>
      </c>
      <c r="AB68" s="10" t="s">
        <v>56</v>
      </c>
      <c r="AC68" s="10"/>
    </row>
    <row r="69" s="2" customFormat="1" ht="88.7" hidden="1" spans="1:29">
      <c r="A69" s="10" t="s">
        <v>1259</v>
      </c>
      <c r="B69" s="4" t="s">
        <v>1364</v>
      </c>
      <c r="C69" s="4" t="s">
        <v>1365</v>
      </c>
      <c r="D69" s="40" t="s">
        <v>1370</v>
      </c>
      <c r="E69" s="4"/>
      <c r="F69" s="40"/>
      <c r="G69" s="13"/>
      <c r="H69" s="45"/>
      <c r="I69" s="17"/>
      <c r="J69" s="10"/>
      <c r="K69" s="10"/>
      <c r="L69" s="10"/>
      <c r="M69" s="10"/>
      <c r="N69" s="10"/>
      <c r="O69" s="10"/>
      <c r="P69" s="10"/>
      <c r="Q69" s="10"/>
      <c r="R69" s="10"/>
      <c r="S69" s="4" t="s">
        <v>1372</v>
      </c>
      <c r="T69" s="53" t="s">
        <v>58</v>
      </c>
      <c r="U69" s="4" t="s">
        <v>1372</v>
      </c>
      <c r="V69" s="50" t="s">
        <v>33</v>
      </c>
      <c r="W69" s="23"/>
      <c r="X69" s="4" t="s">
        <v>1372</v>
      </c>
      <c r="Y69" s="53" t="s">
        <v>58</v>
      </c>
      <c r="Z69" s="10" t="str">
        <f>_xlfn.DISPIMG("ID_4EF1B327F6044FC7B7124F1A481235B8",1)</f>
        <v>=DISPIMG("ID_4EF1B327F6044FC7B7124F1A481235B8",1)</v>
      </c>
      <c r="AA69" s="10" t="s">
        <v>34</v>
      </c>
      <c r="AB69" s="10" t="s">
        <v>1373</v>
      </c>
      <c r="AC69" s="10"/>
    </row>
    <row r="70" s="2" customFormat="1" ht="100.8" hidden="1" spans="1:29">
      <c r="A70" s="10" t="s">
        <v>1259</v>
      </c>
      <c r="B70" s="4" t="s">
        <v>1364</v>
      </c>
      <c r="C70" s="4" t="s">
        <v>1365</v>
      </c>
      <c r="D70" s="40" t="s">
        <v>1370</v>
      </c>
      <c r="E70" s="4"/>
      <c r="F70" s="40"/>
      <c r="G70" s="13"/>
      <c r="H70" s="45"/>
      <c r="I70" s="17"/>
      <c r="J70" s="10"/>
      <c r="K70" s="10"/>
      <c r="L70" s="10"/>
      <c r="M70" s="10"/>
      <c r="N70" s="10"/>
      <c r="O70" s="10"/>
      <c r="P70" s="10"/>
      <c r="Q70" s="10"/>
      <c r="R70" s="10"/>
      <c r="S70" s="4" t="s">
        <v>1374</v>
      </c>
      <c r="T70" s="53" t="s">
        <v>68</v>
      </c>
      <c r="U70" s="25" t="s">
        <v>1375</v>
      </c>
      <c r="V70" s="50" t="s">
        <v>33</v>
      </c>
      <c r="W70" s="23"/>
      <c r="X70" s="4" t="s">
        <v>1374</v>
      </c>
      <c r="Y70" s="53" t="s">
        <v>68</v>
      </c>
      <c r="Z70" s="10" t="str">
        <f>_xlfn.DISPIMG("ID_1FBCC5BEBA6F4492AC57BFE22D401918",1)</f>
        <v>=DISPIMG("ID_1FBCC5BEBA6F4492AC57BFE22D401918",1)</v>
      </c>
      <c r="AA70" s="10" t="s">
        <v>34</v>
      </c>
      <c r="AB70" s="10" t="s">
        <v>1376</v>
      </c>
      <c r="AC70" s="10"/>
    </row>
    <row r="71" s="2" customFormat="1" ht="66" hidden="1" spans="1:29">
      <c r="A71" s="10" t="s">
        <v>1259</v>
      </c>
      <c r="B71" s="4" t="s">
        <v>1364</v>
      </c>
      <c r="C71" s="4" t="s">
        <v>1365</v>
      </c>
      <c r="D71" s="40" t="s">
        <v>1370</v>
      </c>
      <c r="E71" s="4"/>
      <c r="F71" s="40"/>
      <c r="G71" s="13"/>
      <c r="H71" s="46"/>
      <c r="I71" s="17"/>
      <c r="J71" s="10"/>
      <c r="K71" s="10"/>
      <c r="L71" s="10"/>
      <c r="M71" s="10"/>
      <c r="N71" s="10"/>
      <c r="O71" s="10"/>
      <c r="P71" s="10"/>
      <c r="Q71" s="10"/>
      <c r="R71" s="10"/>
      <c r="S71" s="4" t="s">
        <v>1377</v>
      </c>
      <c r="T71" s="53" t="s">
        <v>32</v>
      </c>
      <c r="U71" s="4" t="s">
        <v>1377</v>
      </c>
      <c r="V71" s="50" t="s">
        <v>33</v>
      </c>
      <c r="W71" s="23"/>
      <c r="X71" s="4" t="s">
        <v>1377</v>
      </c>
      <c r="Y71" s="53" t="s">
        <v>32</v>
      </c>
      <c r="Z71" s="10" t="str">
        <f>_xlfn.DISPIMG("ID_2AFAD70E5B9A47F3B743822AE6D5608E",1)</f>
        <v>=DISPIMG("ID_2AFAD70E5B9A47F3B743822AE6D5608E",1)</v>
      </c>
      <c r="AA71" s="10" t="s">
        <v>34</v>
      </c>
      <c r="AB71" s="10" t="s">
        <v>56</v>
      </c>
      <c r="AC71" s="10"/>
    </row>
    <row r="72" s="2" customFormat="1" ht="66" hidden="1" spans="1:29">
      <c r="A72" s="10" t="s">
        <v>1259</v>
      </c>
      <c r="B72" s="4" t="s">
        <v>1364</v>
      </c>
      <c r="C72" s="4" t="s">
        <v>1365</v>
      </c>
      <c r="D72" s="40" t="s">
        <v>1378</v>
      </c>
      <c r="E72" s="4"/>
      <c r="F72" s="40"/>
      <c r="G72" s="13"/>
      <c r="H72" s="44" t="s">
        <v>1378</v>
      </c>
      <c r="I72" s="17"/>
      <c r="J72" s="10"/>
      <c r="K72" s="10"/>
      <c r="L72" s="10"/>
      <c r="M72" s="10"/>
      <c r="N72" s="10"/>
      <c r="O72" s="10"/>
      <c r="P72" s="10"/>
      <c r="Q72" s="10"/>
      <c r="R72" s="10"/>
      <c r="S72" s="4" t="s">
        <v>1379</v>
      </c>
      <c r="T72" s="53" t="s">
        <v>32</v>
      </c>
      <c r="U72" s="4" t="s">
        <v>1379</v>
      </c>
      <c r="V72" s="50" t="s">
        <v>33</v>
      </c>
      <c r="W72" s="23"/>
      <c r="X72" s="4" t="s">
        <v>1379</v>
      </c>
      <c r="Y72" s="53" t="s">
        <v>32</v>
      </c>
      <c r="Z72" s="10" t="str">
        <f>_xlfn.DISPIMG("ID_9E7858670013490694BA88289018AFBA",1)</f>
        <v>=DISPIMG("ID_9E7858670013490694BA88289018AFBA",1)</v>
      </c>
      <c r="AA72" s="10" t="s">
        <v>34</v>
      </c>
      <c r="AB72" s="10" t="s">
        <v>56</v>
      </c>
      <c r="AC72" s="10"/>
    </row>
    <row r="73" s="2" customFormat="1" ht="115.2" hidden="1" spans="1:29">
      <c r="A73" s="10" t="s">
        <v>1259</v>
      </c>
      <c r="B73" s="4" t="s">
        <v>1364</v>
      </c>
      <c r="C73" s="4" t="s">
        <v>1365</v>
      </c>
      <c r="D73" s="40" t="s">
        <v>1378</v>
      </c>
      <c r="E73" s="4"/>
      <c r="F73" s="40"/>
      <c r="G73" s="13"/>
      <c r="H73" s="45"/>
      <c r="I73" s="17"/>
      <c r="J73" s="10"/>
      <c r="K73" s="10"/>
      <c r="L73" s="10"/>
      <c r="M73" s="10"/>
      <c r="N73" s="10"/>
      <c r="O73" s="10"/>
      <c r="P73" s="10"/>
      <c r="Q73" s="10"/>
      <c r="R73" s="10"/>
      <c r="S73" s="4" t="s">
        <v>1380</v>
      </c>
      <c r="T73" s="53" t="s">
        <v>68</v>
      </c>
      <c r="U73" s="25" t="s">
        <v>1381</v>
      </c>
      <c r="V73" s="50" t="s">
        <v>33</v>
      </c>
      <c r="W73" s="23"/>
      <c r="X73" s="4" t="s">
        <v>1380</v>
      </c>
      <c r="Y73" s="53" t="s">
        <v>68</v>
      </c>
      <c r="Z73" s="10" t="str">
        <f>_xlfn.DISPIMG("ID_EEA0573902CD4F8C8F377EAA0367F1ED",1)</f>
        <v>=DISPIMG("ID_EEA0573902CD4F8C8F377EAA0367F1ED",1)</v>
      </c>
      <c r="AA73" s="10" t="s">
        <v>34</v>
      </c>
      <c r="AB73" s="10" t="s">
        <v>1382</v>
      </c>
      <c r="AC73" s="10"/>
    </row>
    <row r="74" s="2" customFormat="1" ht="66" hidden="1" spans="1:29">
      <c r="A74" s="10" t="s">
        <v>1259</v>
      </c>
      <c r="B74" s="4" t="s">
        <v>1364</v>
      </c>
      <c r="C74" s="4" t="s">
        <v>1365</v>
      </c>
      <c r="D74" s="40" t="s">
        <v>1378</v>
      </c>
      <c r="E74" s="40"/>
      <c r="F74" s="40"/>
      <c r="G74" s="13"/>
      <c r="H74" s="45"/>
      <c r="I74" s="17"/>
      <c r="J74" s="10"/>
      <c r="K74" s="10"/>
      <c r="L74" s="10"/>
      <c r="M74" s="10"/>
      <c r="N74" s="10"/>
      <c r="O74" s="10"/>
      <c r="P74" s="10"/>
      <c r="Q74" s="10"/>
      <c r="R74" s="10"/>
      <c r="S74" s="4" t="s">
        <v>1383</v>
      </c>
      <c r="T74" s="53" t="s">
        <v>68</v>
      </c>
      <c r="U74" s="25" t="s">
        <v>1384</v>
      </c>
      <c r="V74" s="50" t="s">
        <v>33</v>
      </c>
      <c r="W74" s="23"/>
      <c r="X74" s="4" t="s">
        <v>1383</v>
      </c>
      <c r="Y74" s="53" t="s">
        <v>68</v>
      </c>
      <c r="Z74" s="10" t="str">
        <f>_xlfn.DISPIMG("ID_979AD8AF5D3F4D15947226FCA0583E50",1)</f>
        <v>=DISPIMG("ID_979AD8AF5D3F4D15947226FCA0583E50",1)</v>
      </c>
      <c r="AA74" s="10" t="s">
        <v>34</v>
      </c>
      <c r="AB74" s="10" t="s">
        <v>1385</v>
      </c>
      <c r="AC74" s="10"/>
    </row>
    <row r="75" s="2" customFormat="1" ht="66" hidden="1" spans="1:29">
      <c r="A75" s="10" t="s">
        <v>1259</v>
      </c>
      <c r="B75" s="4" t="s">
        <v>1364</v>
      </c>
      <c r="C75" s="4" t="s">
        <v>1365</v>
      </c>
      <c r="D75" s="40" t="s">
        <v>1378</v>
      </c>
      <c r="E75" s="40"/>
      <c r="F75" s="40"/>
      <c r="G75" s="13"/>
      <c r="H75" s="45"/>
      <c r="I75" s="17"/>
      <c r="J75" s="10"/>
      <c r="K75" s="10"/>
      <c r="L75" s="10"/>
      <c r="M75" s="10"/>
      <c r="N75" s="10"/>
      <c r="O75" s="10"/>
      <c r="P75" s="10"/>
      <c r="Q75" s="10"/>
      <c r="R75" s="10"/>
      <c r="S75" s="4" t="s">
        <v>1386</v>
      </c>
      <c r="T75" s="58" t="s">
        <v>68</v>
      </c>
      <c r="U75" s="25" t="s">
        <v>1387</v>
      </c>
      <c r="V75" s="50" t="s">
        <v>33</v>
      </c>
      <c r="W75" s="23"/>
      <c r="X75" s="4" t="s">
        <v>1386</v>
      </c>
      <c r="Y75" s="58" t="s">
        <v>68</v>
      </c>
      <c r="Z75" s="10" t="str">
        <f>_xlfn.DISPIMG("ID_63BE347CCF1F48CE847425915DFFC334",1)</f>
        <v>=DISPIMG("ID_63BE347CCF1F48CE847425915DFFC334",1)</v>
      </c>
      <c r="AA75" s="10" t="s">
        <v>34</v>
      </c>
      <c r="AB75" s="10" t="s">
        <v>1388</v>
      </c>
      <c r="AC75" s="10"/>
    </row>
    <row r="76" s="2" customFormat="1" ht="99.75" hidden="1" spans="1:29">
      <c r="A76" s="10" t="s">
        <v>1259</v>
      </c>
      <c r="B76" s="4" t="s">
        <v>1364</v>
      </c>
      <c r="C76" s="4" t="s">
        <v>1365</v>
      </c>
      <c r="D76" s="40" t="s">
        <v>1378</v>
      </c>
      <c r="E76" s="4"/>
      <c r="F76" s="40"/>
      <c r="G76" s="13"/>
      <c r="H76" s="46"/>
      <c r="I76" s="17"/>
      <c r="J76" s="10"/>
      <c r="K76" s="10"/>
      <c r="L76" s="10"/>
      <c r="M76" s="10"/>
      <c r="N76" s="10"/>
      <c r="O76" s="10"/>
      <c r="P76" s="10"/>
      <c r="Q76" s="10"/>
      <c r="R76" s="10"/>
      <c r="S76" s="4" t="s">
        <v>1389</v>
      </c>
      <c r="T76" s="58" t="s">
        <v>68</v>
      </c>
      <c r="U76" s="25" t="s">
        <v>1390</v>
      </c>
      <c r="V76" s="50" t="s">
        <v>33</v>
      </c>
      <c r="W76" s="23"/>
      <c r="X76" s="4" t="s">
        <v>1389</v>
      </c>
      <c r="Y76" s="58" t="s">
        <v>68</v>
      </c>
      <c r="Z76" s="10" t="str">
        <f>_xlfn.DISPIMG("ID_5D22FBDC0CFB40ABBAC1AE81B056C4ED",1)</f>
        <v>=DISPIMG("ID_5D22FBDC0CFB40ABBAC1AE81B056C4ED",1)</v>
      </c>
      <c r="AA76" s="10" t="s">
        <v>34</v>
      </c>
      <c r="AB76" s="10" t="s">
        <v>1391</v>
      </c>
      <c r="AC76" s="10"/>
    </row>
    <row r="77" s="2" customFormat="1" ht="66" hidden="1" spans="1:29">
      <c r="A77" s="10" t="s">
        <v>1259</v>
      </c>
      <c r="B77" s="4" t="s">
        <v>1364</v>
      </c>
      <c r="C77" s="4" t="s">
        <v>1365</v>
      </c>
      <c r="D77" s="4" t="s">
        <v>1392</v>
      </c>
      <c r="E77" s="4"/>
      <c r="F77" s="40"/>
      <c r="G77" s="13"/>
      <c r="H77" s="41" t="s">
        <v>1392</v>
      </c>
      <c r="I77" s="17"/>
      <c r="J77" s="10"/>
      <c r="K77" s="10"/>
      <c r="L77" s="10"/>
      <c r="M77" s="10"/>
      <c r="N77" s="10"/>
      <c r="O77" s="10"/>
      <c r="P77" s="10"/>
      <c r="Q77" s="10"/>
      <c r="R77" s="10"/>
      <c r="S77" s="4" t="s">
        <v>1393</v>
      </c>
      <c r="T77" s="58" t="s">
        <v>32</v>
      </c>
      <c r="U77" s="4" t="s">
        <v>1393</v>
      </c>
      <c r="V77" s="50" t="s">
        <v>33</v>
      </c>
      <c r="W77" s="23"/>
      <c r="X77" s="4" t="s">
        <v>1393</v>
      </c>
      <c r="Y77" s="58" t="s">
        <v>32</v>
      </c>
      <c r="Z77" s="10" t="str">
        <f>_xlfn.DISPIMG("ID_FA05CFDBDBCB45B188A5E1654D09A6D4",1)</f>
        <v>=DISPIMG("ID_FA05CFDBDBCB45B188A5E1654D09A6D4",1)</v>
      </c>
      <c r="AA77" s="10" t="s">
        <v>34</v>
      </c>
      <c r="AB77" s="10" t="s">
        <v>56</v>
      </c>
      <c r="AC77" s="10"/>
    </row>
    <row r="78" s="2" customFormat="1" ht="72" hidden="1" spans="1:29">
      <c r="A78" s="10" t="s">
        <v>1259</v>
      </c>
      <c r="B78" s="4" t="s">
        <v>1364</v>
      </c>
      <c r="C78" s="4" t="s">
        <v>1365</v>
      </c>
      <c r="D78" s="4" t="s">
        <v>1392</v>
      </c>
      <c r="E78" s="4"/>
      <c r="F78" s="40"/>
      <c r="G78" s="13"/>
      <c r="H78" s="43"/>
      <c r="I78" s="17"/>
      <c r="J78" s="10"/>
      <c r="K78" s="10"/>
      <c r="L78" s="10"/>
      <c r="M78" s="10"/>
      <c r="N78" s="10"/>
      <c r="O78" s="10"/>
      <c r="P78" s="10"/>
      <c r="Q78" s="10"/>
      <c r="R78" s="10"/>
      <c r="S78" s="4" t="s">
        <v>1394</v>
      </c>
      <c r="T78" s="58" t="s">
        <v>68</v>
      </c>
      <c r="U78" s="25" t="s">
        <v>1395</v>
      </c>
      <c r="V78" s="50" t="s">
        <v>33</v>
      </c>
      <c r="W78" s="23"/>
      <c r="X78" s="4" t="s">
        <v>1394</v>
      </c>
      <c r="Y78" s="58" t="s">
        <v>68</v>
      </c>
      <c r="Z78" s="10" t="str">
        <f>_xlfn.DISPIMG("ID_536011F26E86458484F751CC7831BB47",1)</f>
        <v>=DISPIMG("ID_536011F26E86458484F751CC7831BB47",1)</v>
      </c>
      <c r="AA78" s="10" t="s">
        <v>34</v>
      </c>
      <c r="AB78" s="10" t="s">
        <v>1396</v>
      </c>
      <c r="AC78" s="10"/>
    </row>
    <row r="79" s="2" customFormat="1" ht="66" hidden="1" spans="1:29">
      <c r="A79" s="10" t="s">
        <v>1259</v>
      </c>
      <c r="B79" s="4" t="s">
        <v>1364</v>
      </c>
      <c r="C79" s="4" t="s">
        <v>1365</v>
      </c>
      <c r="D79" s="4" t="s">
        <v>1392</v>
      </c>
      <c r="E79" s="56"/>
      <c r="F79" s="40"/>
      <c r="G79" s="13"/>
      <c r="H79" s="42"/>
      <c r="I79" s="17"/>
      <c r="J79" s="10"/>
      <c r="K79" s="10"/>
      <c r="L79" s="10"/>
      <c r="M79" s="10"/>
      <c r="N79" s="10"/>
      <c r="O79" s="10"/>
      <c r="P79" s="10"/>
      <c r="Q79" s="10"/>
      <c r="R79" s="10"/>
      <c r="S79" s="4" t="s">
        <v>1397</v>
      </c>
      <c r="T79" s="58" t="s">
        <v>32</v>
      </c>
      <c r="U79" s="4" t="s">
        <v>1397</v>
      </c>
      <c r="V79" s="50" t="s">
        <v>33</v>
      </c>
      <c r="W79" s="23"/>
      <c r="X79" s="4" t="s">
        <v>1397</v>
      </c>
      <c r="Y79" s="58" t="s">
        <v>32</v>
      </c>
      <c r="Z79" s="10" t="str">
        <f>_xlfn.DISPIMG("ID_F9D7476805B94C44A0A9A4D2BAA0102C",1)</f>
        <v>=DISPIMG("ID_F9D7476805B94C44A0A9A4D2BAA0102C",1)</v>
      </c>
      <c r="AA79" s="10" t="s">
        <v>34</v>
      </c>
      <c r="AB79" s="10" t="s">
        <v>56</v>
      </c>
      <c r="AC79" s="10"/>
    </row>
    <row r="80" s="2" customFormat="1" ht="66" hidden="1" spans="1:29">
      <c r="A80" s="10" t="s">
        <v>1259</v>
      </c>
      <c r="B80" s="4" t="s">
        <v>1364</v>
      </c>
      <c r="C80" s="4" t="s">
        <v>1365</v>
      </c>
      <c r="D80" s="4" t="s">
        <v>1398</v>
      </c>
      <c r="E80" s="4"/>
      <c r="F80" s="40"/>
      <c r="G80" s="13"/>
      <c r="H80" s="41" t="s">
        <v>1398</v>
      </c>
      <c r="I80" s="17"/>
      <c r="J80" s="10"/>
      <c r="K80" s="10"/>
      <c r="L80" s="10"/>
      <c r="M80" s="10"/>
      <c r="N80" s="10"/>
      <c r="O80" s="10"/>
      <c r="P80" s="10"/>
      <c r="Q80" s="10"/>
      <c r="R80" s="10"/>
      <c r="S80" s="4" t="s">
        <v>1398</v>
      </c>
      <c r="T80" s="58" t="s">
        <v>32</v>
      </c>
      <c r="U80" s="4" t="s">
        <v>1398</v>
      </c>
      <c r="V80" s="50" t="s">
        <v>33</v>
      </c>
      <c r="W80" s="23"/>
      <c r="X80" s="4" t="s">
        <v>1398</v>
      </c>
      <c r="Y80" s="58" t="s">
        <v>32</v>
      </c>
      <c r="Z80" s="10" t="str">
        <f>_xlfn.DISPIMG("ID_F70BF9E015F94FC294587D7EDE09D55A",1)</f>
        <v>=DISPIMG("ID_F70BF9E015F94FC294587D7EDE09D55A",1)</v>
      </c>
      <c r="AA80" s="10" t="s">
        <v>34</v>
      </c>
      <c r="AB80" s="10" t="s">
        <v>56</v>
      </c>
      <c r="AC80" s="10"/>
    </row>
    <row r="81" s="2" customFormat="1" ht="72" hidden="1" spans="1:29">
      <c r="A81" s="10" t="s">
        <v>1259</v>
      </c>
      <c r="B81" s="4" t="s">
        <v>1364</v>
      </c>
      <c r="C81" s="4" t="s">
        <v>1365</v>
      </c>
      <c r="D81" s="4" t="s">
        <v>1398</v>
      </c>
      <c r="E81" s="4"/>
      <c r="F81" s="40"/>
      <c r="G81" s="13"/>
      <c r="H81" s="43"/>
      <c r="I81" s="17"/>
      <c r="J81" s="10"/>
      <c r="K81" s="10"/>
      <c r="L81" s="10"/>
      <c r="M81" s="10"/>
      <c r="N81" s="10"/>
      <c r="O81" s="10"/>
      <c r="P81" s="10"/>
      <c r="Q81" s="10"/>
      <c r="R81" s="10"/>
      <c r="S81" s="4" t="s">
        <v>1399</v>
      </c>
      <c r="T81" s="53" t="s">
        <v>68</v>
      </c>
      <c r="U81" s="25" t="s">
        <v>1400</v>
      </c>
      <c r="V81" s="50" t="s">
        <v>33</v>
      </c>
      <c r="W81" s="23"/>
      <c r="X81" s="4" t="s">
        <v>1399</v>
      </c>
      <c r="Y81" s="53" t="s">
        <v>68</v>
      </c>
      <c r="Z81" s="10" t="str">
        <f>_xlfn.DISPIMG("ID_F21C78C36C2140BA8230996661E74A10",1)</f>
        <v>=DISPIMG("ID_F21C78C36C2140BA8230996661E74A10",1)</v>
      </c>
      <c r="AA81" s="10" t="s">
        <v>34</v>
      </c>
      <c r="AB81" s="10" t="s">
        <v>1401</v>
      </c>
      <c r="AC81" s="10"/>
    </row>
    <row r="82" s="2" customFormat="1" ht="66" hidden="1" spans="1:29">
      <c r="A82" s="10" t="s">
        <v>1259</v>
      </c>
      <c r="B82" s="4" t="s">
        <v>1364</v>
      </c>
      <c r="C82" s="4" t="s">
        <v>1365</v>
      </c>
      <c r="D82" s="4" t="s">
        <v>1398</v>
      </c>
      <c r="E82" s="4"/>
      <c r="F82" s="40"/>
      <c r="G82" s="13"/>
      <c r="H82" s="42"/>
      <c r="I82" s="17"/>
      <c r="J82" s="10"/>
      <c r="K82" s="10"/>
      <c r="L82" s="10"/>
      <c r="M82" s="10"/>
      <c r="N82" s="10"/>
      <c r="O82" s="10"/>
      <c r="P82" s="10"/>
      <c r="Q82" s="10"/>
      <c r="R82" s="10"/>
      <c r="S82" s="4" t="s">
        <v>1402</v>
      </c>
      <c r="T82" s="53" t="s">
        <v>32</v>
      </c>
      <c r="U82" s="4" t="s">
        <v>1402</v>
      </c>
      <c r="V82" s="50" t="s">
        <v>33</v>
      </c>
      <c r="W82" s="23"/>
      <c r="X82" s="4" t="s">
        <v>1402</v>
      </c>
      <c r="Y82" s="53" t="s">
        <v>32</v>
      </c>
      <c r="Z82" s="10" t="str">
        <f>_xlfn.DISPIMG("ID_B90D4685E1E44F26AC563938122632C1",1)</f>
        <v>=DISPIMG("ID_B90D4685E1E44F26AC563938122632C1",1)</v>
      </c>
      <c r="AA82" s="10" t="s">
        <v>34</v>
      </c>
      <c r="AB82" s="10" t="s">
        <v>56</v>
      </c>
      <c r="AC82" s="10"/>
    </row>
    <row r="83" s="2" customFormat="1" ht="66" hidden="1" spans="1:29">
      <c r="A83" s="10" t="s">
        <v>1259</v>
      </c>
      <c r="B83" s="4" t="s">
        <v>1364</v>
      </c>
      <c r="C83" s="4" t="s">
        <v>1403</v>
      </c>
      <c r="D83" s="4" t="s">
        <v>1404</v>
      </c>
      <c r="E83" s="57"/>
      <c r="F83" s="40"/>
      <c r="G83" s="13"/>
      <c r="H83" s="4" t="s">
        <v>1404</v>
      </c>
      <c r="I83" s="17"/>
      <c r="J83" s="10"/>
      <c r="K83" s="10"/>
      <c r="L83" s="10"/>
      <c r="M83" s="10"/>
      <c r="N83" s="10"/>
      <c r="O83" s="10"/>
      <c r="P83" s="10"/>
      <c r="Q83" s="10"/>
      <c r="R83" s="10"/>
      <c r="S83" s="4" t="s">
        <v>1405</v>
      </c>
      <c r="T83" s="53" t="s">
        <v>32</v>
      </c>
      <c r="U83" s="4" t="s">
        <v>1405</v>
      </c>
      <c r="V83" s="50" t="s">
        <v>33</v>
      </c>
      <c r="W83" s="23"/>
      <c r="X83" s="4" t="s">
        <v>1405</v>
      </c>
      <c r="Y83" s="53" t="s">
        <v>68</v>
      </c>
      <c r="Z83" s="10" t="str">
        <f>_xlfn.DISPIMG("ID_38F52476657B4CA094A601AD19C5B7A3",1)</f>
        <v>=DISPIMG("ID_38F52476657B4CA094A601AD19C5B7A3",1)</v>
      </c>
      <c r="AA83" s="10" t="s">
        <v>34</v>
      </c>
      <c r="AB83" s="10" t="s">
        <v>56</v>
      </c>
      <c r="AC83" s="10"/>
    </row>
    <row r="84" s="2" customFormat="1" ht="86.4" hidden="1" spans="1:29">
      <c r="A84" s="10" t="s">
        <v>1259</v>
      </c>
      <c r="B84" s="4" t="s">
        <v>1364</v>
      </c>
      <c r="C84" s="4" t="s">
        <v>1403</v>
      </c>
      <c r="D84" s="4" t="s">
        <v>1406</v>
      </c>
      <c r="E84" s="57"/>
      <c r="F84" s="40"/>
      <c r="G84" s="13"/>
      <c r="H84" s="4" t="s">
        <v>1406</v>
      </c>
      <c r="I84" s="17"/>
      <c r="J84" s="10"/>
      <c r="K84" s="10"/>
      <c r="L84" s="10"/>
      <c r="M84" s="10"/>
      <c r="N84" s="10"/>
      <c r="O84" s="10"/>
      <c r="P84" s="10"/>
      <c r="Q84" s="10"/>
      <c r="R84" s="10"/>
      <c r="S84" s="4" t="s">
        <v>1407</v>
      </c>
      <c r="T84" s="53" t="s">
        <v>68</v>
      </c>
      <c r="U84" s="25" t="s">
        <v>1408</v>
      </c>
      <c r="V84" s="50" t="s">
        <v>33</v>
      </c>
      <c r="W84" s="23"/>
      <c r="X84" s="4" t="s">
        <v>1407</v>
      </c>
      <c r="Y84" s="53" t="s">
        <v>68</v>
      </c>
      <c r="Z84" s="10" t="str">
        <f>_xlfn.DISPIMG("ID_25868164023F46E4816E9D40F702400D",1)</f>
        <v>=DISPIMG("ID_25868164023F46E4816E9D40F702400D",1)</v>
      </c>
      <c r="AA84" s="10" t="s">
        <v>34</v>
      </c>
      <c r="AB84" s="10" t="s">
        <v>1409</v>
      </c>
      <c r="AC84" s="10"/>
    </row>
    <row r="85" s="2" customFormat="1" ht="86.4" hidden="1" spans="1:29">
      <c r="A85" s="10" t="s">
        <v>1259</v>
      </c>
      <c r="B85" s="4" t="s">
        <v>1364</v>
      </c>
      <c r="C85" s="4" t="s">
        <v>1403</v>
      </c>
      <c r="D85" s="4" t="s">
        <v>1410</v>
      </c>
      <c r="E85" s="57"/>
      <c r="F85" s="40"/>
      <c r="G85" s="13"/>
      <c r="H85" s="4" t="s">
        <v>1410</v>
      </c>
      <c r="I85" s="17"/>
      <c r="J85" s="10"/>
      <c r="K85" s="10"/>
      <c r="L85" s="10"/>
      <c r="M85" s="10"/>
      <c r="N85" s="10"/>
      <c r="O85" s="10"/>
      <c r="P85" s="10"/>
      <c r="Q85" s="10"/>
      <c r="R85" s="10"/>
      <c r="S85" s="4" t="s">
        <v>1411</v>
      </c>
      <c r="T85" s="53" t="s">
        <v>68</v>
      </c>
      <c r="U85" s="25" t="s">
        <v>1408</v>
      </c>
      <c r="V85" s="50" t="s">
        <v>33</v>
      </c>
      <c r="W85" s="23"/>
      <c r="X85" s="4" t="s">
        <v>1411</v>
      </c>
      <c r="Y85" s="53" t="s">
        <v>68</v>
      </c>
      <c r="Z85" s="10" t="str">
        <f>_xlfn.DISPIMG("ID_FFC359D845FE418F9C54C361F66C82C4",1)</f>
        <v>=DISPIMG("ID_FFC359D845FE418F9C54C361F66C82C4",1)</v>
      </c>
      <c r="AA85" s="10" t="s">
        <v>34</v>
      </c>
      <c r="AB85" s="10" t="s">
        <v>1412</v>
      </c>
      <c r="AC85" s="10"/>
    </row>
    <row r="86" s="2" customFormat="1" ht="86.4" hidden="1" spans="1:29">
      <c r="A86" s="10" t="s">
        <v>1259</v>
      </c>
      <c r="B86" s="4" t="s">
        <v>1364</v>
      </c>
      <c r="C86" s="4" t="s">
        <v>1413</v>
      </c>
      <c r="D86" s="4" t="s">
        <v>1404</v>
      </c>
      <c r="E86" s="4"/>
      <c r="F86" s="40"/>
      <c r="G86" s="13"/>
      <c r="H86" s="4" t="s">
        <v>1404</v>
      </c>
      <c r="I86" s="18"/>
      <c r="J86" s="19"/>
      <c r="K86" s="19"/>
      <c r="L86" s="19"/>
      <c r="M86" s="19"/>
      <c r="N86" s="19"/>
      <c r="O86" s="19"/>
      <c r="P86" s="19"/>
      <c r="Q86" s="19"/>
      <c r="R86" s="19"/>
      <c r="S86" s="4" t="s">
        <v>1414</v>
      </c>
      <c r="T86" s="53" t="s">
        <v>68</v>
      </c>
      <c r="U86" s="25" t="s">
        <v>1408</v>
      </c>
      <c r="V86" s="50" t="s">
        <v>33</v>
      </c>
      <c r="W86" s="23"/>
      <c r="X86" s="4" t="s">
        <v>1414</v>
      </c>
      <c r="Y86" s="53" t="s">
        <v>68</v>
      </c>
      <c r="Z86" s="10" t="str">
        <f>_xlfn.DISPIMG("ID_71107B0D8DD8403C9B1902C5DE3A4264",1)</f>
        <v>=DISPIMG("ID_71107B0D8DD8403C9B1902C5DE3A4264",1)</v>
      </c>
      <c r="AA86" s="10" t="s">
        <v>34</v>
      </c>
      <c r="AB86" s="10" t="s">
        <v>1415</v>
      </c>
      <c r="AC86" s="10"/>
    </row>
    <row r="87" s="2" customFormat="1" ht="86.4" hidden="1" spans="1:29">
      <c r="A87" s="10" t="s">
        <v>1259</v>
      </c>
      <c r="B87" s="4" t="s">
        <v>1364</v>
      </c>
      <c r="C87" s="4" t="s">
        <v>1413</v>
      </c>
      <c r="D87" s="4" t="s">
        <v>1406</v>
      </c>
      <c r="E87" s="4"/>
      <c r="F87" s="40"/>
      <c r="G87" s="13"/>
      <c r="H87" s="4" t="s">
        <v>1406</v>
      </c>
      <c r="I87" s="18"/>
      <c r="J87" s="19"/>
      <c r="K87" s="19"/>
      <c r="L87" s="19"/>
      <c r="M87" s="19"/>
      <c r="N87" s="19"/>
      <c r="O87" s="19"/>
      <c r="P87" s="19"/>
      <c r="Q87" s="19"/>
      <c r="R87" s="19"/>
      <c r="S87" s="4" t="s">
        <v>1416</v>
      </c>
      <c r="T87" s="53" t="s">
        <v>68</v>
      </c>
      <c r="U87" s="25" t="s">
        <v>1408</v>
      </c>
      <c r="V87" s="50" t="s">
        <v>33</v>
      </c>
      <c r="W87" s="23"/>
      <c r="X87" s="4" t="s">
        <v>1416</v>
      </c>
      <c r="Y87" s="53" t="s">
        <v>68</v>
      </c>
      <c r="Z87" s="10" t="str">
        <f>_xlfn.DISPIMG("ID_51082576FE2640BEB00D957011E8AAB8",1)</f>
        <v>=DISPIMG("ID_51082576FE2640BEB00D957011E8AAB8",1)</v>
      </c>
      <c r="AA87" s="10" t="s">
        <v>34</v>
      </c>
      <c r="AB87" s="10" t="s">
        <v>1417</v>
      </c>
      <c r="AC87" s="10"/>
    </row>
    <row r="88" s="2" customFormat="1" ht="86.4" hidden="1" spans="1:29">
      <c r="A88" s="10" t="s">
        <v>1259</v>
      </c>
      <c r="B88" s="4" t="s">
        <v>1364</v>
      </c>
      <c r="C88" s="4" t="s">
        <v>1413</v>
      </c>
      <c r="D88" s="4" t="s">
        <v>1410</v>
      </c>
      <c r="E88" s="57"/>
      <c r="F88" s="40"/>
      <c r="G88" s="13"/>
      <c r="H88" s="4" t="s">
        <v>1410</v>
      </c>
      <c r="I88" s="18"/>
      <c r="J88" s="19"/>
      <c r="K88" s="19"/>
      <c r="L88" s="19"/>
      <c r="M88" s="19"/>
      <c r="N88" s="19"/>
      <c r="O88" s="19"/>
      <c r="P88" s="19"/>
      <c r="Q88" s="19"/>
      <c r="R88" s="19"/>
      <c r="S88" s="4" t="s">
        <v>1418</v>
      </c>
      <c r="T88" s="53" t="s">
        <v>68</v>
      </c>
      <c r="U88" s="25" t="s">
        <v>1408</v>
      </c>
      <c r="V88" s="50" t="s">
        <v>33</v>
      </c>
      <c r="W88" s="23"/>
      <c r="X88" s="4" t="s">
        <v>1418</v>
      </c>
      <c r="Y88" s="53" t="s">
        <v>68</v>
      </c>
      <c r="Z88" s="10" t="str">
        <f>_xlfn.DISPIMG("ID_0B6526383B3A4D878CAD35F0BC4C01C0",1)</f>
        <v>=DISPIMG("ID_0B6526383B3A4D878CAD35F0BC4C01C0",1)</v>
      </c>
      <c r="AA88" s="10" t="s">
        <v>34</v>
      </c>
      <c r="AB88" s="10" t="s">
        <v>1419</v>
      </c>
      <c r="AC88" s="10"/>
    </row>
    <row r="89" s="2" customFormat="1" ht="66" hidden="1" spans="1:29">
      <c r="A89" s="10" t="s">
        <v>1259</v>
      </c>
      <c r="B89" s="4" t="s">
        <v>1420</v>
      </c>
      <c r="C89" s="4" t="s">
        <v>1420</v>
      </c>
      <c r="D89" s="4" t="s">
        <v>1420</v>
      </c>
      <c r="E89" s="4"/>
      <c r="F89" s="40"/>
      <c r="G89" s="13"/>
      <c r="H89" s="41" t="s">
        <v>1420</v>
      </c>
      <c r="I89" s="18"/>
      <c r="J89" s="19"/>
      <c r="K89" s="19"/>
      <c r="L89" s="19"/>
      <c r="M89" s="19"/>
      <c r="N89" s="19"/>
      <c r="O89" s="19"/>
      <c r="P89" s="19"/>
      <c r="Q89" s="19"/>
      <c r="R89" s="19"/>
      <c r="S89" s="4" t="s">
        <v>1421</v>
      </c>
      <c r="T89" s="53" t="s">
        <v>32</v>
      </c>
      <c r="U89" s="4" t="s">
        <v>1421</v>
      </c>
      <c r="V89" s="50" t="s">
        <v>33</v>
      </c>
      <c r="W89" s="23"/>
      <c r="X89" s="4" t="s">
        <v>1421</v>
      </c>
      <c r="Y89" s="53" t="s">
        <v>32</v>
      </c>
      <c r="Z89" s="10" t="str">
        <f>_xlfn.DISPIMG("ID_EDD2F2A54614403AB574AABE65622FDA",1)</f>
        <v>=DISPIMG("ID_EDD2F2A54614403AB574AABE65622FDA",1)</v>
      </c>
      <c r="AA89" s="10" t="s">
        <v>34</v>
      </c>
      <c r="AB89" s="10" t="s">
        <v>56</v>
      </c>
      <c r="AC89" s="10"/>
    </row>
    <row r="90" s="2" customFormat="1" ht="100.8" hidden="1" spans="1:29">
      <c r="A90" s="10" t="s">
        <v>1259</v>
      </c>
      <c r="B90" s="4" t="s">
        <v>1420</v>
      </c>
      <c r="C90" s="4" t="s">
        <v>1420</v>
      </c>
      <c r="D90" s="4" t="s">
        <v>1420</v>
      </c>
      <c r="E90" s="4"/>
      <c r="F90" s="40"/>
      <c r="G90" s="13"/>
      <c r="H90" s="42"/>
      <c r="I90" s="18"/>
      <c r="J90" s="19"/>
      <c r="K90" s="19"/>
      <c r="L90" s="19"/>
      <c r="M90" s="19"/>
      <c r="N90" s="19"/>
      <c r="O90" s="19"/>
      <c r="P90" s="19"/>
      <c r="Q90" s="19"/>
      <c r="R90" s="19"/>
      <c r="S90" s="4" t="s">
        <v>1422</v>
      </c>
      <c r="T90" s="53" t="s">
        <v>68</v>
      </c>
      <c r="U90" s="25" t="s">
        <v>1423</v>
      </c>
      <c r="V90" s="50" t="s">
        <v>33</v>
      </c>
      <c r="W90" s="23"/>
      <c r="X90" s="4" t="s">
        <v>1422</v>
      </c>
      <c r="Y90" s="53" t="s">
        <v>68</v>
      </c>
      <c r="Z90" s="10" t="str">
        <f>_xlfn.DISPIMG("ID_3F3DE13A1AA6433EB9086DCE017DC637",1)</f>
        <v>=DISPIMG("ID_3F3DE13A1AA6433EB9086DCE017DC637",1)</v>
      </c>
      <c r="AA90" s="10" t="s">
        <v>34</v>
      </c>
      <c r="AB90" s="10" t="s">
        <v>1424</v>
      </c>
      <c r="AC90" s="10"/>
    </row>
    <row r="91" s="2" customFormat="1" ht="66" hidden="1" spans="1:29">
      <c r="A91" s="10" t="s">
        <v>1259</v>
      </c>
      <c r="B91" s="4" t="s">
        <v>891</v>
      </c>
      <c r="C91" s="4" t="s">
        <v>891</v>
      </c>
      <c r="D91" s="4" t="s">
        <v>891</v>
      </c>
      <c r="E91" s="4"/>
      <c r="F91" s="40"/>
      <c r="G91" s="13"/>
      <c r="H91" s="4" t="s">
        <v>891</v>
      </c>
      <c r="I91" s="17"/>
      <c r="J91" s="10"/>
      <c r="K91" s="10"/>
      <c r="L91" s="10"/>
      <c r="M91" s="10"/>
      <c r="N91" s="10"/>
      <c r="O91" s="10"/>
      <c r="P91" s="10"/>
      <c r="Q91" s="10"/>
      <c r="R91" s="10"/>
      <c r="S91" s="4" t="s">
        <v>1425</v>
      </c>
      <c r="T91" s="53" t="s">
        <v>32</v>
      </c>
      <c r="U91" s="4" t="s">
        <v>1425</v>
      </c>
      <c r="V91" s="50" t="s">
        <v>33</v>
      </c>
      <c r="W91" s="23"/>
      <c r="X91" s="4" t="s">
        <v>1425</v>
      </c>
      <c r="Y91" s="53" t="s">
        <v>32</v>
      </c>
      <c r="Z91" s="10" t="str">
        <f>_xlfn.DISPIMG("ID_AEA7FA2FE3AD407DB77C0F8C76FD4AB1",1)</f>
        <v>=DISPIMG("ID_AEA7FA2FE3AD407DB77C0F8C76FD4AB1",1)</v>
      </c>
      <c r="AA91" s="10" t="s">
        <v>34</v>
      </c>
      <c r="AB91" s="10" t="s">
        <v>56</v>
      </c>
      <c r="AC91" s="10"/>
    </row>
    <row r="92" s="2" customFormat="1" spans="1:29">
      <c r="A92" s="10"/>
      <c r="B92" s="11"/>
      <c r="C92" s="10"/>
      <c r="D92" s="10"/>
      <c r="E92" s="10"/>
      <c r="F92" s="12"/>
      <c r="G92" s="13"/>
      <c r="H92" s="10"/>
      <c r="I92" s="17"/>
      <c r="J92" s="10"/>
      <c r="K92" s="10"/>
      <c r="L92" s="10"/>
      <c r="M92" s="10"/>
      <c r="N92" s="10"/>
      <c r="O92" s="10"/>
      <c r="P92" s="10"/>
      <c r="Q92" s="10"/>
      <c r="R92" s="10"/>
      <c r="S92" s="10"/>
      <c r="T92" s="10"/>
      <c r="U92" s="13"/>
      <c r="V92" s="10"/>
      <c r="W92" s="23"/>
      <c r="X92" s="10"/>
      <c r="Y92" s="10"/>
      <c r="Z92" s="10"/>
      <c r="AA92" s="10"/>
      <c r="AB92" s="10"/>
      <c r="AC92" s="10"/>
    </row>
    <row r="93" s="2" customFormat="1" spans="1:29">
      <c r="A93" s="10"/>
      <c r="B93" s="11"/>
      <c r="C93" s="10"/>
      <c r="D93" s="10"/>
      <c r="E93" s="10"/>
      <c r="F93" s="12"/>
      <c r="G93" s="13"/>
      <c r="H93" s="10"/>
      <c r="I93" s="17"/>
      <c r="J93" s="10"/>
      <c r="K93" s="10"/>
      <c r="L93" s="10"/>
      <c r="M93" s="10"/>
      <c r="N93" s="10"/>
      <c r="O93" s="10"/>
      <c r="P93" s="10"/>
      <c r="Q93" s="10"/>
      <c r="R93" s="10"/>
      <c r="S93" s="10"/>
      <c r="T93" s="10"/>
      <c r="U93" s="13"/>
      <c r="V93" s="10"/>
      <c r="W93" s="23"/>
      <c r="X93" s="10"/>
      <c r="Y93" s="10"/>
      <c r="Z93" s="10"/>
      <c r="AA93" s="10"/>
      <c r="AB93" s="10"/>
      <c r="AC93" s="10"/>
    </row>
    <row r="94" s="2" customFormat="1" spans="1:29">
      <c r="A94" s="10"/>
      <c r="B94" s="11"/>
      <c r="C94" s="10"/>
      <c r="D94" s="10"/>
      <c r="E94" s="10"/>
      <c r="F94" s="12"/>
      <c r="G94" s="13"/>
      <c r="H94" s="10"/>
      <c r="I94" s="17"/>
      <c r="J94" s="10"/>
      <c r="K94" s="10"/>
      <c r="L94" s="10"/>
      <c r="M94" s="10"/>
      <c r="N94" s="10"/>
      <c r="O94" s="10"/>
      <c r="P94" s="10"/>
      <c r="Q94" s="10"/>
      <c r="R94" s="10"/>
      <c r="S94" s="10"/>
      <c r="T94" s="10"/>
      <c r="U94" s="13"/>
      <c r="V94" s="10"/>
      <c r="W94" s="23"/>
      <c r="X94" s="10"/>
      <c r="Y94" s="10"/>
      <c r="Z94" s="10"/>
      <c r="AA94" s="10"/>
      <c r="AB94" s="10"/>
      <c r="AC94" s="10"/>
    </row>
    <row r="95" s="2" customFormat="1" spans="1:29">
      <c r="A95" s="10"/>
      <c r="B95" s="11"/>
      <c r="C95" s="10"/>
      <c r="D95" s="10"/>
      <c r="E95" s="10"/>
      <c r="F95" s="12"/>
      <c r="G95" s="13"/>
      <c r="H95" s="10"/>
      <c r="I95" s="17"/>
      <c r="J95" s="10"/>
      <c r="K95" s="10"/>
      <c r="L95" s="10"/>
      <c r="M95" s="10"/>
      <c r="N95" s="10"/>
      <c r="O95" s="10"/>
      <c r="P95" s="10"/>
      <c r="Q95" s="10"/>
      <c r="R95" s="10"/>
      <c r="S95" s="10"/>
      <c r="T95" s="10"/>
      <c r="U95" s="13"/>
      <c r="V95" s="10"/>
      <c r="W95" s="23"/>
      <c r="X95" s="10"/>
      <c r="Y95" s="10"/>
      <c r="Z95" s="10"/>
      <c r="AA95" s="10"/>
      <c r="AB95" s="10"/>
      <c r="AC95" s="10"/>
    </row>
    <row r="96" s="2" customFormat="1" spans="1:29">
      <c r="A96" s="10"/>
      <c r="B96" s="11"/>
      <c r="C96" s="10"/>
      <c r="D96" s="10"/>
      <c r="E96" s="10"/>
      <c r="F96" s="12"/>
      <c r="G96" s="13"/>
      <c r="H96" s="10"/>
      <c r="I96" s="17"/>
      <c r="J96" s="10"/>
      <c r="K96" s="10"/>
      <c r="L96" s="10"/>
      <c r="M96" s="10"/>
      <c r="N96" s="10"/>
      <c r="O96" s="10"/>
      <c r="P96" s="10"/>
      <c r="Q96" s="10"/>
      <c r="R96" s="10"/>
      <c r="S96" s="10"/>
      <c r="T96" s="10"/>
      <c r="U96" s="13"/>
      <c r="V96" s="10"/>
      <c r="W96" s="23"/>
      <c r="X96" s="10"/>
      <c r="Y96" s="10"/>
      <c r="Z96" s="10"/>
      <c r="AA96" s="10"/>
      <c r="AB96" s="10"/>
      <c r="AC96" s="10"/>
    </row>
    <row r="97" s="2" customFormat="1" spans="1:29">
      <c r="A97" s="10"/>
      <c r="B97" s="11"/>
      <c r="C97" s="10"/>
      <c r="D97" s="10"/>
      <c r="E97" s="10"/>
      <c r="F97" s="12"/>
      <c r="G97" s="13"/>
      <c r="H97" s="10"/>
      <c r="I97" s="17"/>
      <c r="J97" s="10"/>
      <c r="K97" s="10"/>
      <c r="L97" s="10"/>
      <c r="M97" s="10"/>
      <c r="N97" s="10"/>
      <c r="O97" s="10"/>
      <c r="P97" s="10"/>
      <c r="Q97" s="10"/>
      <c r="R97" s="10"/>
      <c r="S97" s="10"/>
      <c r="T97" s="10"/>
      <c r="U97" s="13"/>
      <c r="V97" s="10"/>
      <c r="W97" s="23"/>
      <c r="X97" s="10"/>
      <c r="Y97" s="10"/>
      <c r="Z97" s="10"/>
      <c r="AA97" s="10"/>
      <c r="AB97" s="10"/>
      <c r="AC97" s="10"/>
    </row>
    <row r="98" s="2" customFormat="1" spans="1:29">
      <c r="A98" s="10"/>
      <c r="B98" s="11"/>
      <c r="C98" s="10"/>
      <c r="D98" s="10"/>
      <c r="E98" s="10"/>
      <c r="F98" s="12"/>
      <c r="G98" s="13"/>
      <c r="H98" s="10"/>
      <c r="I98" s="17"/>
      <c r="J98" s="10"/>
      <c r="K98" s="10"/>
      <c r="L98" s="10"/>
      <c r="M98" s="10"/>
      <c r="N98" s="10"/>
      <c r="O98" s="10"/>
      <c r="P98" s="10"/>
      <c r="Q98" s="10"/>
      <c r="R98" s="10"/>
      <c r="S98" s="10"/>
      <c r="T98" s="10"/>
      <c r="U98" s="13"/>
      <c r="V98" s="10"/>
      <c r="W98" s="23"/>
      <c r="X98" s="10"/>
      <c r="Y98" s="10"/>
      <c r="Z98" s="10"/>
      <c r="AA98" s="10"/>
      <c r="AB98" s="10"/>
      <c r="AC98" s="10"/>
    </row>
    <row r="99" s="2" customFormat="1" spans="1:29">
      <c r="A99" s="10"/>
      <c r="B99" s="11"/>
      <c r="C99" s="10"/>
      <c r="D99" s="10"/>
      <c r="E99" s="10"/>
      <c r="F99" s="12"/>
      <c r="G99" s="13"/>
      <c r="H99" s="10"/>
      <c r="I99" s="17"/>
      <c r="J99" s="10"/>
      <c r="K99" s="10"/>
      <c r="L99" s="10"/>
      <c r="M99" s="10"/>
      <c r="N99" s="10"/>
      <c r="O99" s="10"/>
      <c r="P99" s="10"/>
      <c r="Q99" s="10"/>
      <c r="R99" s="10"/>
      <c r="S99" s="10"/>
      <c r="T99" s="10"/>
      <c r="U99" s="13"/>
      <c r="V99" s="10"/>
      <c r="W99" s="23"/>
      <c r="X99" s="10"/>
      <c r="Y99" s="10"/>
      <c r="Z99" s="10"/>
      <c r="AA99" s="10"/>
      <c r="AB99" s="10"/>
      <c r="AC99" s="10"/>
    </row>
    <row r="100" s="2" customFormat="1" spans="1:29">
      <c r="A100" s="10"/>
      <c r="B100" s="11"/>
      <c r="C100" s="10"/>
      <c r="D100" s="10"/>
      <c r="E100" s="10"/>
      <c r="F100" s="12"/>
      <c r="G100" s="13"/>
      <c r="H100" s="10"/>
      <c r="I100" s="17"/>
      <c r="J100" s="10"/>
      <c r="K100" s="10"/>
      <c r="L100" s="10"/>
      <c r="M100" s="10"/>
      <c r="N100" s="10"/>
      <c r="O100" s="10"/>
      <c r="P100" s="10"/>
      <c r="Q100" s="10"/>
      <c r="R100" s="10"/>
      <c r="S100" s="10"/>
      <c r="T100" s="10"/>
      <c r="U100" s="13"/>
      <c r="V100" s="10"/>
      <c r="W100" s="23"/>
      <c r="X100" s="10"/>
      <c r="Y100" s="10"/>
      <c r="Z100" s="10"/>
      <c r="AA100" s="10"/>
      <c r="AB100" s="10"/>
      <c r="AC100" s="10"/>
    </row>
    <row r="101" s="2" customFormat="1" spans="1:29">
      <c r="A101" s="10"/>
      <c r="B101" s="11"/>
      <c r="C101" s="10"/>
      <c r="D101" s="10"/>
      <c r="E101" s="10"/>
      <c r="F101" s="12"/>
      <c r="G101" s="13"/>
      <c r="H101" s="10"/>
      <c r="I101" s="17"/>
      <c r="J101" s="10"/>
      <c r="K101" s="10"/>
      <c r="L101" s="10"/>
      <c r="M101" s="10"/>
      <c r="N101" s="10"/>
      <c r="O101" s="10"/>
      <c r="P101" s="10"/>
      <c r="Q101" s="10"/>
      <c r="R101" s="10"/>
      <c r="S101" s="10"/>
      <c r="T101" s="10"/>
      <c r="U101" s="13"/>
      <c r="V101" s="10"/>
      <c r="W101" s="23"/>
      <c r="X101" s="10"/>
      <c r="Y101" s="10"/>
      <c r="Z101" s="10"/>
      <c r="AA101" s="10"/>
      <c r="AB101" s="10"/>
      <c r="AC101" s="10"/>
    </row>
    <row r="102" s="2" customFormat="1" spans="1:29">
      <c r="A102" s="10"/>
      <c r="B102" s="11"/>
      <c r="C102" s="10"/>
      <c r="D102" s="10"/>
      <c r="E102" s="10"/>
      <c r="F102" s="12"/>
      <c r="G102" s="13"/>
      <c r="H102" s="10"/>
      <c r="I102" s="17"/>
      <c r="J102" s="10"/>
      <c r="K102" s="10"/>
      <c r="L102" s="10"/>
      <c r="M102" s="10"/>
      <c r="N102" s="10"/>
      <c r="O102" s="10"/>
      <c r="P102" s="10"/>
      <c r="Q102" s="10"/>
      <c r="R102" s="10"/>
      <c r="S102" s="10"/>
      <c r="T102" s="10"/>
      <c r="U102" s="13"/>
      <c r="V102" s="10"/>
      <c r="W102" s="23"/>
      <c r="X102" s="10"/>
      <c r="Y102" s="10"/>
      <c r="Z102" s="10"/>
      <c r="AA102" s="10"/>
      <c r="AB102" s="10"/>
      <c r="AC102" s="10"/>
    </row>
    <row r="103" s="2" customFormat="1" spans="1:29">
      <c r="A103" s="10"/>
      <c r="B103" s="11"/>
      <c r="C103" s="10"/>
      <c r="D103" s="10"/>
      <c r="E103" s="10"/>
      <c r="F103" s="12"/>
      <c r="G103" s="13"/>
      <c r="H103" s="10"/>
      <c r="I103" s="17"/>
      <c r="J103" s="10"/>
      <c r="K103" s="10"/>
      <c r="L103" s="10"/>
      <c r="M103" s="10"/>
      <c r="N103" s="10"/>
      <c r="O103" s="10"/>
      <c r="P103" s="10"/>
      <c r="Q103" s="10"/>
      <c r="R103" s="10"/>
      <c r="S103" s="10"/>
      <c r="T103" s="10"/>
      <c r="U103" s="13"/>
      <c r="V103" s="10"/>
      <c r="W103" s="23"/>
      <c r="X103" s="10"/>
      <c r="Y103" s="10"/>
      <c r="Z103" s="10"/>
      <c r="AA103" s="10"/>
      <c r="AB103" s="10"/>
      <c r="AC103" s="10"/>
    </row>
    <row r="104" s="2" customFormat="1" spans="1:29">
      <c r="A104" s="10"/>
      <c r="B104" s="11"/>
      <c r="C104" s="10"/>
      <c r="D104" s="10"/>
      <c r="E104" s="10"/>
      <c r="F104" s="12"/>
      <c r="G104" s="13"/>
      <c r="H104" s="10"/>
      <c r="I104" s="17"/>
      <c r="J104" s="10"/>
      <c r="K104" s="10"/>
      <c r="L104" s="10"/>
      <c r="M104" s="10"/>
      <c r="N104" s="10"/>
      <c r="O104" s="10"/>
      <c r="P104" s="10"/>
      <c r="Q104" s="10"/>
      <c r="R104" s="10"/>
      <c r="S104" s="10"/>
      <c r="T104" s="10"/>
      <c r="U104" s="13"/>
      <c r="V104" s="10"/>
      <c r="W104" s="23"/>
      <c r="X104" s="10"/>
      <c r="Y104" s="10"/>
      <c r="Z104" s="10"/>
      <c r="AA104" s="10"/>
      <c r="AB104" s="10"/>
      <c r="AC104" s="10"/>
    </row>
    <row r="105" s="2" customFormat="1" spans="1:29">
      <c r="A105" s="10"/>
      <c r="B105" s="11"/>
      <c r="C105" s="10"/>
      <c r="D105" s="10"/>
      <c r="E105" s="10"/>
      <c r="F105" s="12"/>
      <c r="G105" s="13"/>
      <c r="H105" s="10"/>
      <c r="I105" s="17"/>
      <c r="J105" s="10"/>
      <c r="K105" s="10"/>
      <c r="L105" s="10"/>
      <c r="M105" s="10"/>
      <c r="N105" s="10"/>
      <c r="O105" s="10"/>
      <c r="P105" s="10"/>
      <c r="Q105" s="10"/>
      <c r="R105" s="10"/>
      <c r="S105" s="10"/>
      <c r="T105" s="10"/>
      <c r="U105" s="13"/>
      <c r="V105" s="10"/>
      <c r="W105" s="23"/>
      <c r="X105" s="10"/>
      <c r="Y105" s="10"/>
      <c r="Z105" s="10"/>
      <c r="AA105" s="10"/>
      <c r="AB105" s="10"/>
      <c r="AC105" s="10"/>
    </row>
    <row r="106" s="2" customFormat="1" spans="1:29">
      <c r="A106" s="10"/>
      <c r="B106" s="11"/>
      <c r="C106" s="10"/>
      <c r="D106" s="10"/>
      <c r="E106" s="10"/>
      <c r="F106" s="12"/>
      <c r="G106" s="13"/>
      <c r="H106" s="10"/>
      <c r="I106" s="17"/>
      <c r="J106" s="10"/>
      <c r="K106" s="10"/>
      <c r="L106" s="10"/>
      <c r="M106" s="10"/>
      <c r="N106" s="10"/>
      <c r="O106" s="10"/>
      <c r="P106" s="10"/>
      <c r="Q106" s="10"/>
      <c r="R106" s="10"/>
      <c r="S106" s="10"/>
      <c r="T106" s="10"/>
      <c r="U106" s="13"/>
      <c r="V106" s="10"/>
      <c r="W106" s="23"/>
      <c r="X106" s="10"/>
      <c r="Y106" s="10"/>
      <c r="Z106" s="10"/>
      <c r="AA106" s="10"/>
      <c r="AB106" s="10"/>
      <c r="AC106" s="10"/>
    </row>
    <row r="107" s="2" customFormat="1" spans="1:29">
      <c r="A107" s="10"/>
      <c r="B107" s="11"/>
      <c r="C107" s="10"/>
      <c r="D107" s="10"/>
      <c r="E107" s="10"/>
      <c r="F107" s="12"/>
      <c r="G107" s="13"/>
      <c r="H107" s="10"/>
      <c r="I107" s="17"/>
      <c r="J107" s="10"/>
      <c r="K107" s="10"/>
      <c r="L107" s="10"/>
      <c r="M107" s="10"/>
      <c r="N107" s="10"/>
      <c r="O107" s="10"/>
      <c r="P107" s="10"/>
      <c r="Q107" s="10"/>
      <c r="R107" s="10"/>
      <c r="S107" s="10"/>
      <c r="T107" s="10"/>
      <c r="U107" s="13"/>
      <c r="V107" s="10"/>
      <c r="W107" s="23"/>
      <c r="X107" s="10"/>
      <c r="Y107" s="10"/>
      <c r="Z107" s="10"/>
      <c r="AA107" s="10"/>
      <c r="AB107" s="10"/>
      <c r="AC107" s="10"/>
    </row>
    <row r="108" s="2" customFormat="1" spans="1:29">
      <c r="A108" s="10"/>
      <c r="B108" s="11"/>
      <c r="C108" s="10"/>
      <c r="D108" s="10"/>
      <c r="E108" s="10"/>
      <c r="F108" s="12"/>
      <c r="G108" s="13"/>
      <c r="H108" s="10"/>
      <c r="I108" s="17"/>
      <c r="J108" s="10"/>
      <c r="K108" s="10"/>
      <c r="L108" s="10"/>
      <c r="M108" s="10"/>
      <c r="N108" s="10"/>
      <c r="O108" s="10"/>
      <c r="P108" s="10"/>
      <c r="Q108" s="10"/>
      <c r="R108" s="10"/>
      <c r="S108" s="10"/>
      <c r="T108" s="10"/>
      <c r="U108" s="13"/>
      <c r="V108" s="10"/>
      <c r="W108" s="23"/>
      <c r="X108" s="10"/>
      <c r="Y108" s="10"/>
      <c r="Z108" s="10"/>
      <c r="AA108" s="10"/>
      <c r="AB108" s="10"/>
      <c r="AC108" s="10"/>
    </row>
    <row r="109" s="2" customFormat="1" spans="1:29">
      <c r="A109" s="10"/>
      <c r="B109" s="11"/>
      <c r="C109" s="10"/>
      <c r="D109" s="10"/>
      <c r="E109" s="10"/>
      <c r="F109" s="12"/>
      <c r="G109" s="13"/>
      <c r="H109" s="10"/>
      <c r="I109" s="17"/>
      <c r="J109" s="10"/>
      <c r="K109" s="10"/>
      <c r="L109" s="10"/>
      <c r="M109" s="10"/>
      <c r="N109" s="10"/>
      <c r="O109" s="10"/>
      <c r="P109" s="10"/>
      <c r="Q109" s="10"/>
      <c r="R109" s="10"/>
      <c r="S109" s="10"/>
      <c r="T109" s="10"/>
      <c r="U109" s="13"/>
      <c r="V109" s="10"/>
      <c r="W109" s="23"/>
      <c r="X109" s="10"/>
      <c r="Y109" s="10"/>
      <c r="Z109" s="10"/>
      <c r="AA109" s="10"/>
      <c r="AB109" s="10"/>
      <c r="AC109" s="10"/>
    </row>
    <row r="110" s="2" customFormat="1" spans="1:29">
      <c r="A110" s="10"/>
      <c r="B110" s="11"/>
      <c r="C110" s="10"/>
      <c r="D110" s="10"/>
      <c r="E110" s="10"/>
      <c r="F110" s="12"/>
      <c r="G110" s="13"/>
      <c r="H110" s="10"/>
      <c r="I110" s="17"/>
      <c r="J110" s="10"/>
      <c r="K110" s="10"/>
      <c r="L110" s="10"/>
      <c r="M110" s="10"/>
      <c r="N110" s="10"/>
      <c r="O110" s="10"/>
      <c r="P110" s="10"/>
      <c r="Q110" s="10"/>
      <c r="R110" s="10"/>
      <c r="S110" s="10"/>
      <c r="T110" s="10"/>
      <c r="U110" s="13"/>
      <c r="V110" s="10"/>
      <c r="W110" s="23"/>
      <c r="X110" s="10"/>
      <c r="Y110" s="10"/>
      <c r="Z110" s="10"/>
      <c r="AA110" s="10"/>
      <c r="AB110" s="10"/>
      <c r="AC110" s="10"/>
    </row>
    <row r="111" s="2" customFormat="1" spans="1:29">
      <c r="A111" s="10"/>
      <c r="B111" s="11"/>
      <c r="C111" s="10"/>
      <c r="D111" s="10"/>
      <c r="E111" s="10"/>
      <c r="F111" s="12"/>
      <c r="G111" s="13"/>
      <c r="H111" s="10"/>
      <c r="I111" s="17"/>
      <c r="J111" s="10"/>
      <c r="K111" s="10"/>
      <c r="L111" s="10"/>
      <c r="M111" s="10"/>
      <c r="N111" s="10"/>
      <c r="O111" s="10"/>
      <c r="P111" s="10"/>
      <c r="Q111" s="10"/>
      <c r="R111" s="10"/>
      <c r="S111" s="10"/>
      <c r="T111" s="10"/>
      <c r="U111" s="13"/>
      <c r="V111" s="10"/>
      <c r="W111" s="23"/>
      <c r="X111" s="10"/>
      <c r="Y111" s="10"/>
      <c r="Z111" s="10"/>
      <c r="AA111" s="10"/>
      <c r="AB111" s="10"/>
      <c r="AC111" s="10"/>
    </row>
    <row r="112" s="2" customFormat="1" spans="1:29">
      <c r="A112" s="10"/>
      <c r="B112" s="11"/>
      <c r="C112" s="10"/>
      <c r="D112" s="10"/>
      <c r="E112" s="10"/>
      <c r="F112" s="12"/>
      <c r="G112" s="13"/>
      <c r="H112" s="10"/>
      <c r="I112" s="17"/>
      <c r="J112" s="10"/>
      <c r="K112" s="10"/>
      <c r="L112" s="10"/>
      <c r="M112" s="10"/>
      <c r="N112" s="10"/>
      <c r="O112" s="10"/>
      <c r="P112" s="10"/>
      <c r="Q112" s="10"/>
      <c r="R112" s="10"/>
      <c r="S112" s="10"/>
      <c r="T112" s="10"/>
      <c r="U112" s="13"/>
      <c r="V112" s="10"/>
      <c r="W112" s="23"/>
      <c r="X112" s="10"/>
      <c r="Y112" s="10"/>
      <c r="Z112" s="10"/>
      <c r="AA112" s="10"/>
      <c r="AB112" s="10"/>
      <c r="AC112" s="10"/>
    </row>
    <row r="113" s="2" customFormat="1" spans="1:29">
      <c r="A113" s="10"/>
      <c r="B113" s="11"/>
      <c r="C113" s="10"/>
      <c r="D113" s="10"/>
      <c r="E113" s="10"/>
      <c r="F113" s="12"/>
      <c r="G113" s="13"/>
      <c r="H113" s="10"/>
      <c r="I113" s="17"/>
      <c r="J113" s="10"/>
      <c r="K113" s="10"/>
      <c r="L113" s="10"/>
      <c r="M113" s="10"/>
      <c r="N113" s="10"/>
      <c r="O113" s="10"/>
      <c r="P113" s="10"/>
      <c r="Q113" s="10"/>
      <c r="R113" s="10"/>
      <c r="S113" s="10"/>
      <c r="T113" s="10"/>
      <c r="U113" s="13"/>
      <c r="V113" s="10"/>
      <c r="W113" s="23"/>
      <c r="X113" s="10"/>
      <c r="Y113" s="10"/>
      <c r="Z113" s="10"/>
      <c r="AA113" s="10"/>
      <c r="AB113" s="10"/>
      <c r="AC113" s="10"/>
    </row>
    <row r="114" s="2" customFormat="1" spans="1:29">
      <c r="A114" s="10"/>
      <c r="B114" s="11"/>
      <c r="C114" s="10"/>
      <c r="D114" s="10"/>
      <c r="E114" s="10"/>
      <c r="F114" s="12"/>
      <c r="G114" s="13"/>
      <c r="H114" s="10"/>
      <c r="I114" s="17"/>
      <c r="J114" s="10"/>
      <c r="K114" s="10"/>
      <c r="L114" s="10"/>
      <c r="M114" s="10"/>
      <c r="N114" s="10"/>
      <c r="O114" s="10"/>
      <c r="P114" s="10"/>
      <c r="Q114" s="10"/>
      <c r="R114" s="10"/>
      <c r="S114" s="10"/>
      <c r="T114" s="10"/>
      <c r="U114" s="13"/>
      <c r="V114" s="10"/>
      <c r="W114" s="23"/>
      <c r="X114" s="10"/>
      <c r="Y114" s="10"/>
      <c r="Z114" s="10"/>
      <c r="AA114" s="10"/>
      <c r="AB114" s="10"/>
      <c r="AC114" s="10"/>
    </row>
    <row r="115" s="2" customFormat="1" spans="1:29">
      <c r="A115" s="10"/>
      <c r="B115" s="11"/>
      <c r="C115" s="10"/>
      <c r="D115" s="10"/>
      <c r="E115" s="10"/>
      <c r="F115" s="12"/>
      <c r="G115" s="13"/>
      <c r="H115" s="10"/>
      <c r="I115" s="17"/>
      <c r="J115" s="10"/>
      <c r="K115" s="10"/>
      <c r="L115" s="10"/>
      <c r="M115" s="10"/>
      <c r="N115" s="10"/>
      <c r="O115" s="10"/>
      <c r="P115" s="10"/>
      <c r="Q115" s="10"/>
      <c r="R115" s="10"/>
      <c r="S115" s="10"/>
      <c r="T115" s="10"/>
      <c r="U115" s="13"/>
      <c r="V115" s="10"/>
      <c r="W115" s="23"/>
      <c r="X115" s="10"/>
      <c r="Y115" s="10"/>
      <c r="Z115" s="10"/>
      <c r="AA115" s="10"/>
      <c r="AB115" s="10"/>
      <c r="AC115" s="10"/>
    </row>
    <row r="116" s="2" customFormat="1" spans="1:29">
      <c r="A116" s="10"/>
      <c r="B116" s="11"/>
      <c r="C116" s="10"/>
      <c r="D116" s="10"/>
      <c r="E116" s="10"/>
      <c r="F116" s="12"/>
      <c r="G116" s="13"/>
      <c r="H116" s="10"/>
      <c r="I116" s="17"/>
      <c r="J116" s="10"/>
      <c r="K116" s="10"/>
      <c r="L116" s="10"/>
      <c r="M116" s="10"/>
      <c r="N116" s="10"/>
      <c r="O116" s="10"/>
      <c r="P116" s="10"/>
      <c r="Q116" s="10"/>
      <c r="R116" s="10"/>
      <c r="S116" s="10"/>
      <c r="T116" s="10"/>
      <c r="U116" s="13"/>
      <c r="V116" s="10"/>
      <c r="W116" s="23"/>
      <c r="X116" s="10"/>
      <c r="Y116" s="10"/>
      <c r="Z116" s="10"/>
      <c r="AA116" s="10"/>
      <c r="AB116" s="10"/>
      <c r="AC116" s="10"/>
    </row>
    <row r="117" s="2" customFormat="1" spans="1:29">
      <c r="A117" s="10"/>
      <c r="B117" s="11"/>
      <c r="C117" s="10"/>
      <c r="D117" s="10"/>
      <c r="E117" s="10"/>
      <c r="F117" s="12"/>
      <c r="G117" s="13"/>
      <c r="H117" s="10"/>
      <c r="I117" s="17"/>
      <c r="J117" s="10"/>
      <c r="K117" s="10"/>
      <c r="L117" s="10"/>
      <c r="M117" s="10"/>
      <c r="N117" s="10"/>
      <c r="O117" s="10"/>
      <c r="P117" s="10"/>
      <c r="Q117" s="10"/>
      <c r="R117" s="10"/>
      <c r="S117" s="10"/>
      <c r="T117" s="10"/>
      <c r="U117" s="13"/>
      <c r="V117" s="10"/>
      <c r="W117" s="23"/>
      <c r="X117" s="10"/>
      <c r="Y117" s="10"/>
      <c r="Z117" s="10"/>
      <c r="AA117" s="10"/>
      <c r="AB117" s="10"/>
      <c r="AC117" s="10"/>
    </row>
    <row r="118" s="2" customFormat="1" spans="1:29">
      <c r="A118" s="10"/>
      <c r="B118" s="11"/>
      <c r="C118" s="10"/>
      <c r="D118" s="10"/>
      <c r="E118" s="10"/>
      <c r="F118" s="12"/>
      <c r="G118" s="13"/>
      <c r="H118" s="10"/>
      <c r="I118" s="17"/>
      <c r="J118" s="10"/>
      <c r="K118" s="10"/>
      <c r="L118" s="10"/>
      <c r="M118" s="10"/>
      <c r="N118" s="10"/>
      <c r="O118" s="10"/>
      <c r="P118" s="10"/>
      <c r="Q118" s="10"/>
      <c r="R118" s="10"/>
      <c r="S118" s="10"/>
      <c r="T118" s="10"/>
      <c r="U118" s="13"/>
      <c r="V118" s="10"/>
      <c r="W118" s="23"/>
      <c r="X118" s="10"/>
      <c r="Y118" s="10"/>
      <c r="Z118" s="10"/>
      <c r="AA118" s="10"/>
      <c r="AB118" s="10"/>
      <c r="AC118" s="10"/>
    </row>
    <row r="119" s="2" customFormat="1" spans="1:29">
      <c r="A119" s="10"/>
      <c r="B119" s="11"/>
      <c r="C119" s="10"/>
      <c r="D119" s="10"/>
      <c r="E119" s="10"/>
      <c r="F119" s="12"/>
      <c r="G119" s="13"/>
      <c r="H119" s="10"/>
      <c r="I119" s="17"/>
      <c r="J119" s="10"/>
      <c r="K119" s="10"/>
      <c r="L119" s="10"/>
      <c r="M119" s="10"/>
      <c r="N119" s="10"/>
      <c r="O119" s="10"/>
      <c r="P119" s="10"/>
      <c r="Q119" s="10"/>
      <c r="R119" s="10"/>
      <c r="S119" s="10"/>
      <c r="T119" s="10"/>
      <c r="U119" s="13"/>
      <c r="V119" s="10"/>
      <c r="W119" s="23"/>
      <c r="X119" s="10"/>
      <c r="Y119" s="10"/>
      <c r="Z119" s="10"/>
      <c r="AA119" s="10"/>
      <c r="AB119" s="10"/>
      <c r="AC119" s="10"/>
    </row>
    <row r="120" s="2" customFormat="1" spans="1:29">
      <c r="A120" s="10"/>
      <c r="B120" s="11"/>
      <c r="C120" s="10"/>
      <c r="D120" s="10"/>
      <c r="E120" s="10"/>
      <c r="F120" s="12"/>
      <c r="G120" s="13"/>
      <c r="H120" s="10"/>
      <c r="I120" s="17"/>
      <c r="J120" s="10"/>
      <c r="K120" s="10"/>
      <c r="L120" s="10"/>
      <c r="M120" s="10"/>
      <c r="N120" s="10"/>
      <c r="O120" s="10"/>
      <c r="P120" s="10"/>
      <c r="Q120" s="10"/>
      <c r="R120" s="10"/>
      <c r="S120" s="10"/>
      <c r="T120" s="10"/>
      <c r="U120" s="13"/>
      <c r="V120" s="10"/>
      <c r="W120" s="23"/>
      <c r="X120" s="10"/>
      <c r="Y120" s="10"/>
      <c r="Z120" s="10"/>
      <c r="AA120" s="10"/>
      <c r="AB120" s="10"/>
      <c r="AC120" s="10"/>
    </row>
    <row r="121" s="2" customFormat="1" spans="1:29">
      <c r="A121" s="10"/>
      <c r="B121" s="11"/>
      <c r="C121" s="10"/>
      <c r="D121" s="10"/>
      <c r="E121" s="10"/>
      <c r="F121" s="12"/>
      <c r="G121" s="13"/>
      <c r="H121" s="10"/>
      <c r="I121" s="17"/>
      <c r="J121" s="10"/>
      <c r="K121" s="10"/>
      <c r="L121" s="10"/>
      <c r="M121" s="10"/>
      <c r="N121" s="10"/>
      <c r="O121" s="10"/>
      <c r="P121" s="10"/>
      <c r="Q121" s="10"/>
      <c r="R121" s="10"/>
      <c r="S121" s="10"/>
      <c r="T121" s="10"/>
      <c r="U121" s="13"/>
      <c r="V121" s="10"/>
      <c r="W121" s="23"/>
      <c r="X121" s="10"/>
      <c r="Y121" s="10"/>
      <c r="Z121" s="10"/>
      <c r="AA121" s="10"/>
      <c r="AB121" s="10"/>
      <c r="AC121" s="10"/>
    </row>
    <row r="122" s="2" customFormat="1" spans="1:29">
      <c r="A122" s="10"/>
      <c r="B122" s="11"/>
      <c r="C122" s="10"/>
      <c r="D122" s="10"/>
      <c r="E122" s="10"/>
      <c r="F122" s="12"/>
      <c r="G122" s="13"/>
      <c r="H122" s="10"/>
      <c r="I122" s="17"/>
      <c r="J122" s="10"/>
      <c r="K122" s="10"/>
      <c r="L122" s="10"/>
      <c r="M122" s="10"/>
      <c r="N122" s="10"/>
      <c r="O122" s="10"/>
      <c r="P122" s="10"/>
      <c r="Q122" s="10"/>
      <c r="R122" s="10"/>
      <c r="S122" s="10"/>
      <c r="T122" s="10"/>
      <c r="U122" s="13"/>
      <c r="V122" s="10"/>
      <c r="W122" s="23"/>
      <c r="X122" s="10"/>
      <c r="Y122" s="10"/>
      <c r="Z122" s="10"/>
      <c r="AA122" s="10"/>
      <c r="AB122" s="10"/>
      <c r="AC122" s="10"/>
    </row>
    <row r="123" s="2" customFormat="1" spans="1:29">
      <c r="A123" s="10"/>
      <c r="B123" s="11"/>
      <c r="C123" s="10"/>
      <c r="D123" s="10"/>
      <c r="E123" s="10"/>
      <c r="F123" s="12"/>
      <c r="G123" s="13"/>
      <c r="H123" s="10"/>
      <c r="I123" s="17"/>
      <c r="J123" s="10"/>
      <c r="K123" s="10"/>
      <c r="L123" s="10"/>
      <c r="M123" s="10"/>
      <c r="N123" s="10"/>
      <c r="O123" s="10"/>
      <c r="P123" s="10"/>
      <c r="Q123" s="10"/>
      <c r="R123" s="10"/>
      <c r="S123" s="10"/>
      <c r="T123" s="10"/>
      <c r="U123" s="13"/>
      <c r="V123" s="10"/>
      <c r="W123" s="23"/>
      <c r="X123" s="10"/>
      <c r="Y123" s="10"/>
      <c r="Z123" s="10"/>
      <c r="AA123" s="10"/>
      <c r="AB123" s="10"/>
      <c r="AC123" s="10"/>
    </row>
    <row r="124" s="2" customFormat="1" spans="1:29">
      <c r="A124" s="10"/>
      <c r="B124" s="11"/>
      <c r="C124" s="10"/>
      <c r="D124" s="10"/>
      <c r="E124" s="10"/>
      <c r="F124" s="12"/>
      <c r="G124" s="13"/>
      <c r="H124" s="10"/>
      <c r="I124" s="17"/>
      <c r="J124" s="10"/>
      <c r="K124" s="10"/>
      <c r="L124" s="10"/>
      <c r="M124" s="10"/>
      <c r="N124" s="10"/>
      <c r="O124" s="10"/>
      <c r="P124" s="10"/>
      <c r="Q124" s="10"/>
      <c r="R124" s="10"/>
      <c r="S124" s="10"/>
      <c r="T124" s="10"/>
      <c r="U124" s="13"/>
      <c r="V124" s="10"/>
      <c r="W124" s="23"/>
      <c r="X124" s="10"/>
      <c r="Y124" s="10"/>
      <c r="Z124" s="10"/>
      <c r="AA124" s="10"/>
      <c r="AB124" s="10"/>
      <c r="AC124" s="10"/>
    </row>
    <row r="125" s="2" customFormat="1" spans="1:29">
      <c r="A125" s="10"/>
      <c r="B125" s="11"/>
      <c r="C125" s="10"/>
      <c r="D125" s="10"/>
      <c r="E125" s="10"/>
      <c r="F125" s="12"/>
      <c r="G125" s="13"/>
      <c r="H125" s="10"/>
      <c r="I125" s="17"/>
      <c r="J125" s="10"/>
      <c r="K125" s="10"/>
      <c r="L125" s="10"/>
      <c r="M125" s="10"/>
      <c r="N125" s="10"/>
      <c r="O125" s="10"/>
      <c r="P125" s="10"/>
      <c r="Q125" s="10"/>
      <c r="R125" s="10"/>
      <c r="S125" s="10"/>
      <c r="T125" s="10"/>
      <c r="U125" s="13"/>
      <c r="V125" s="10"/>
      <c r="W125" s="23"/>
      <c r="X125" s="10"/>
      <c r="Y125" s="10"/>
      <c r="Z125" s="10"/>
      <c r="AA125" s="10"/>
      <c r="AB125" s="10"/>
      <c r="AC125" s="10"/>
    </row>
    <row r="126" s="2" customFormat="1" spans="1:29">
      <c r="A126" s="10"/>
      <c r="B126" s="11"/>
      <c r="C126" s="10"/>
      <c r="D126" s="10"/>
      <c r="E126" s="10"/>
      <c r="F126" s="12"/>
      <c r="G126" s="13"/>
      <c r="H126" s="10"/>
      <c r="I126" s="17"/>
      <c r="J126" s="10"/>
      <c r="K126" s="10"/>
      <c r="L126" s="10"/>
      <c r="M126" s="10"/>
      <c r="N126" s="10"/>
      <c r="O126" s="10"/>
      <c r="P126" s="10"/>
      <c r="Q126" s="10"/>
      <c r="R126" s="10"/>
      <c r="S126" s="10"/>
      <c r="T126" s="10"/>
      <c r="U126" s="13"/>
      <c r="V126" s="10"/>
      <c r="W126" s="23"/>
      <c r="X126" s="10"/>
      <c r="Y126" s="10"/>
      <c r="Z126" s="10"/>
      <c r="AA126" s="10"/>
      <c r="AB126" s="10"/>
      <c r="AC126" s="10"/>
    </row>
    <row r="127" s="2" customFormat="1" spans="1:29">
      <c r="A127" s="10"/>
      <c r="B127" s="11"/>
      <c r="C127" s="10"/>
      <c r="D127" s="10"/>
      <c r="E127" s="10"/>
      <c r="F127" s="12"/>
      <c r="G127" s="13"/>
      <c r="H127" s="10"/>
      <c r="I127" s="17"/>
      <c r="J127" s="10"/>
      <c r="K127" s="10"/>
      <c r="L127" s="10"/>
      <c r="M127" s="10"/>
      <c r="N127" s="10"/>
      <c r="O127" s="10"/>
      <c r="P127" s="10"/>
      <c r="Q127" s="10"/>
      <c r="R127" s="10"/>
      <c r="S127" s="10"/>
      <c r="T127" s="10"/>
      <c r="U127" s="13"/>
      <c r="V127" s="10"/>
      <c r="W127" s="23"/>
      <c r="X127" s="10"/>
      <c r="Y127" s="10"/>
      <c r="Z127" s="10"/>
      <c r="AA127" s="10"/>
      <c r="AB127" s="10"/>
      <c r="AC127" s="10"/>
    </row>
    <row r="128" s="2" customFormat="1" spans="1:29">
      <c r="A128" s="10"/>
      <c r="B128" s="11"/>
      <c r="C128" s="10"/>
      <c r="D128" s="10"/>
      <c r="E128" s="10"/>
      <c r="F128" s="12"/>
      <c r="G128" s="13"/>
      <c r="H128" s="10"/>
      <c r="I128" s="17"/>
      <c r="J128" s="10"/>
      <c r="K128" s="10"/>
      <c r="L128" s="10"/>
      <c r="M128" s="10"/>
      <c r="N128" s="10"/>
      <c r="O128" s="10"/>
      <c r="P128" s="10"/>
      <c r="Q128" s="10"/>
      <c r="R128" s="10"/>
      <c r="S128" s="10"/>
      <c r="T128" s="10"/>
      <c r="U128" s="13"/>
      <c r="V128" s="10"/>
      <c r="W128" s="23"/>
      <c r="X128" s="10"/>
      <c r="Y128" s="10"/>
      <c r="Z128" s="10"/>
      <c r="AA128" s="10"/>
      <c r="AB128" s="10"/>
      <c r="AC128" s="10"/>
    </row>
    <row r="129" s="2" customFormat="1" spans="1:29">
      <c r="A129" s="10"/>
      <c r="B129" s="11"/>
      <c r="C129" s="10"/>
      <c r="D129" s="10"/>
      <c r="E129" s="10"/>
      <c r="F129" s="12"/>
      <c r="G129" s="13"/>
      <c r="H129" s="10"/>
      <c r="I129" s="17"/>
      <c r="J129" s="10"/>
      <c r="K129" s="10"/>
      <c r="L129" s="10"/>
      <c r="M129" s="10"/>
      <c r="N129" s="10"/>
      <c r="O129" s="10"/>
      <c r="P129" s="10"/>
      <c r="Q129" s="10"/>
      <c r="R129" s="10"/>
      <c r="S129" s="10"/>
      <c r="T129" s="10"/>
      <c r="U129" s="13"/>
      <c r="V129" s="10"/>
      <c r="W129" s="23"/>
      <c r="X129" s="10"/>
      <c r="Y129" s="10"/>
      <c r="Z129" s="10"/>
      <c r="AA129" s="10"/>
      <c r="AB129" s="10"/>
      <c r="AC129" s="10"/>
    </row>
    <row r="130" s="2" customFormat="1" spans="1:29">
      <c r="A130" s="10"/>
      <c r="B130" s="11"/>
      <c r="C130" s="10"/>
      <c r="D130" s="10"/>
      <c r="E130" s="10"/>
      <c r="F130" s="12"/>
      <c r="G130" s="13"/>
      <c r="H130" s="10"/>
      <c r="I130" s="17"/>
      <c r="J130" s="10"/>
      <c r="K130" s="10"/>
      <c r="L130" s="10"/>
      <c r="M130" s="10"/>
      <c r="N130" s="10"/>
      <c r="O130" s="10"/>
      <c r="P130" s="10"/>
      <c r="Q130" s="10"/>
      <c r="R130" s="10"/>
      <c r="S130" s="10"/>
      <c r="T130" s="10"/>
      <c r="U130" s="13"/>
      <c r="V130" s="10"/>
      <c r="W130" s="23"/>
      <c r="X130" s="10"/>
      <c r="Y130" s="10"/>
      <c r="Z130" s="10"/>
      <c r="AA130" s="10"/>
      <c r="AB130" s="10"/>
      <c r="AC130" s="10"/>
    </row>
    <row r="131" s="2" customFormat="1" spans="1:29">
      <c r="A131" s="10"/>
      <c r="B131" s="11"/>
      <c r="C131" s="10"/>
      <c r="D131" s="10"/>
      <c r="E131" s="10"/>
      <c r="F131" s="12"/>
      <c r="G131" s="13"/>
      <c r="H131" s="10"/>
      <c r="I131" s="17"/>
      <c r="J131" s="10"/>
      <c r="K131" s="10"/>
      <c r="L131" s="10"/>
      <c r="M131" s="10"/>
      <c r="N131" s="10"/>
      <c r="O131" s="10"/>
      <c r="P131" s="10"/>
      <c r="Q131" s="10"/>
      <c r="R131" s="10"/>
      <c r="S131" s="10"/>
      <c r="T131" s="10"/>
      <c r="U131" s="13"/>
      <c r="V131" s="10"/>
      <c r="W131" s="23"/>
      <c r="X131" s="10"/>
      <c r="Y131" s="10"/>
      <c r="Z131" s="10"/>
      <c r="AA131" s="10"/>
      <c r="AB131" s="10"/>
      <c r="AC131" s="10"/>
    </row>
    <row r="132" s="2" customFormat="1" spans="1:29">
      <c r="A132" s="10"/>
      <c r="B132" s="11"/>
      <c r="C132" s="10"/>
      <c r="D132" s="10"/>
      <c r="E132" s="10"/>
      <c r="F132" s="12"/>
      <c r="G132" s="13"/>
      <c r="H132" s="10"/>
      <c r="I132" s="17"/>
      <c r="J132" s="10"/>
      <c r="K132" s="10"/>
      <c r="L132" s="10"/>
      <c r="M132" s="10"/>
      <c r="N132" s="10"/>
      <c r="O132" s="10"/>
      <c r="P132" s="10"/>
      <c r="Q132" s="10"/>
      <c r="R132" s="10"/>
      <c r="S132" s="10"/>
      <c r="T132" s="10"/>
      <c r="U132" s="13"/>
      <c r="V132" s="10"/>
      <c r="W132" s="23"/>
      <c r="X132" s="10"/>
      <c r="Y132" s="10"/>
      <c r="Z132" s="10"/>
      <c r="AA132" s="10"/>
      <c r="AB132" s="10"/>
      <c r="AC132" s="10"/>
    </row>
    <row r="133" s="2" customFormat="1" spans="1:29">
      <c r="A133" s="10"/>
      <c r="B133" s="11"/>
      <c r="C133" s="10"/>
      <c r="D133" s="10"/>
      <c r="E133" s="10"/>
      <c r="F133" s="12"/>
      <c r="G133" s="13"/>
      <c r="H133" s="10"/>
      <c r="I133" s="17"/>
      <c r="J133" s="10"/>
      <c r="K133" s="10"/>
      <c r="L133" s="10"/>
      <c r="M133" s="10"/>
      <c r="N133" s="10"/>
      <c r="O133" s="10"/>
      <c r="P133" s="10"/>
      <c r="Q133" s="10"/>
      <c r="R133" s="10"/>
      <c r="S133" s="10"/>
      <c r="T133" s="10"/>
      <c r="U133" s="13"/>
      <c r="V133" s="10"/>
      <c r="W133" s="23"/>
      <c r="X133" s="10"/>
      <c r="Y133" s="10"/>
      <c r="Z133" s="10"/>
      <c r="AA133" s="10"/>
      <c r="AB133" s="10"/>
      <c r="AC133" s="10"/>
    </row>
    <row r="134" s="2" customFormat="1" spans="1:29">
      <c r="A134" s="10"/>
      <c r="B134" s="11"/>
      <c r="C134" s="10"/>
      <c r="D134" s="10"/>
      <c r="E134" s="10"/>
      <c r="F134" s="12"/>
      <c r="G134" s="13"/>
      <c r="H134" s="10"/>
      <c r="I134" s="17"/>
      <c r="J134" s="10"/>
      <c r="K134" s="10"/>
      <c r="L134" s="10"/>
      <c r="M134" s="10"/>
      <c r="N134" s="10"/>
      <c r="O134" s="10"/>
      <c r="P134" s="10"/>
      <c r="Q134" s="10"/>
      <c r="R134" s="10"/>
      <c r="S134" s="10"/>
      <c r="T134" s="10"/>
      <c r="U134" s="13"/>
      <c r="V134" s="10"/>
      <c r="W134" s="23"/>
      <c r="X134" s="10"/>
      <c r="Y134" s="10"/>
      <c r="Z134" s="10"/>
      <c r="AA134" s="10"/>
      <c r="AB134" s="10"/>
      <c r="AC134" s="10"/>
    </row>
    <row r="135" s="2" customFormat="1" spans="1:29">
      <c r="A135" s="10"/>
      <c r="B135" s="11"/>
      <c r="C135" s="10"/>
      <c r="D135" s="10"/>
      <c r="E135" s="10"/>
      <c r="F135" s="12"/>
      <c r="G135" s="13"/>
      <c r="H135" s="10"/>
      <c r="I135" s="17"/>
      <c r="J135" s="10"/>
      <c r="K135" s="10"/>
      <c r="L135" s="10"/>
      <c r="M135" s="10"/>
      <c r="N135" s="10"/>
      <c r="O135" s="10"/>
      <c r="P135" s="10"/>
      <c r="Q135" s="10"/>
      <c r="R135" s="10"/>
      <c r="S135" s="10"/>
      <c r="T135" s="10"/>
      <c r="U135" s="13"/>
      <c r="V135" s="10"/>
      <c r="W135" s="23"/>
      <c r="X135" s="10"/>
      <c r="Y135" s="10"/>
      <c r="Z135" s="10"/>
      <c r="AA135" s="10"/>
      <c r="AB135" s="10"/>
      <c r="AC135" s="10"/>
    </row>
    <row r="136" s="2" customFormat="1" spans="1:29">
      <c r="A136" s="10"/>
      <c r="B136" s="11"/>
      <c r="C136" s="10"/>
      <c r="D136" s="10"/>
      <c r="E136" s="10"/>
      <c r="F136" s="12"/>
      <c r="G136" s="13"/>
      <c r="H136" s="10"/>
      <c r="I136" s="17"/>
      <c r="J136" s="10"/>
      <c r="K136" s="10"/>
      <c r="L136" s="10"/>
      <c r="M136" s="10"/>
      <c r="N136" s="10"/>
      <c r="O136" s="10"/>
      <c r="P136" s="10"/>
      <c r="Q136" s="10"/>
      <c r="R136" s="10"/>
      <c r="S136" s="10"/>
      <c r="T136" s="10"/>
      <c r="U136" s="13"/>
      <c r="V136" s="10"/>
      <c r="W136" s="23"/>
      <c r="X136" s="10"/>
      <c r="Y136" s="10"/>
      <c r="Z136" s="10"/>
      <c r="AA136" s="10"/>
      <c r="AB136" s="10"/>
      <c r="AC136" s="10"/>
    </row>
    <row r="137" s="2" customFormat="1" spans="1:29">
      <c r="A137" s="10"/>
      <c r="B137" s="11"/>
      <c r="C137" s="10"/>
      <c r="D137" s="10"/>
      <c r="E137" s="10"/>
      <c r="F137" s="12"/>
      <c r="G137" s="13"/>
      <c r="H137" s="10"/>
      <c r="I137" s="17"/>
      <c r="J137" s="10"/>
      <c r="K137" s="10"/>
      <c r="L137" s="10"/>
      <c r="M137" s="10"/>
      <c r="N137" s="10"/>
      <c r="O137" s="10"/>
      <c r="P137" s="10"/>
      <c r="Q137" s="10"/>
      <c r="R137" s="10"/>
      <c r="S137" s="10"/>
      <c r="T137" s="10"/>
      <c r="U137" s="13"/>
      <c r="V137" s="10"/>
      <c r="W137" s="23"/>
      <c r="X137" s="10"/>
      <c r="Y137" s="10"/>
      <c r="Z137" s="10"/>
      <c r="AA137" s="10"/>
      <c r="AB137" s="10"/>
      <c r="AC137" s="10"/>
    </row>
    <row r="138" s="2" customFormat="1" spans="1:29">
      <c r="A138" s="10"/>
      <c r="B138" s="11"/>
      <c r="C138" s="10"/>
      <c r="D138" s="10"/>
      <c r="E138" s="10"/>
      <c r="F138" s="12"/>
      <c r="G138" s="13"/>
      <c r="H138" s="10"/>
      <c r="I138" s="17"/>
      <c r="J138" s="10"/>
      <c r="K138" s="10"/>
      <c r="L138" s="10"/>
      <c r="M138" s="10"/>
      <c r="N138" s="10"/>
      <c r="O138" s="10"/>
      <c r="P138" s="10"/>
      <c r="Q138" s="10"/>
      <c r="R138" s="10"/>
      <c r="S138" s="10"/>
      <c r="T138" s="10"/>
      <c r="U138" s="13"/>
      <c r="V138" s="10"/>
      <c r="W138" s="23"/>
      <c r="X138" s="10"/>
      <c r="Y138" s="10"/>
      <c r="Z138" s="10"/>
      <c r="AA138" s="10"/>
      <c r="AB138" s="10"/>
      <c r="AC138" s="10"/>
    </row>
    <row r="139" s="2" customFormat="1" spans="1:29">
      <c r="A139" s="10"/>
      <c r="B139" s="11"/>
      <c r="C139" s="10"/>
      <c r="D139" s="10"/>
      <c r="E139" s="10"/>
      <c r="F139" s="12"/>
      <c r="G139" s="13"/>
      <c r="H139" s="10"/>
      <c r="I139" s="17"/>
      <c r="J139" s="10"/>
      <c r="K139" s="10"/>
      <c r="L139" s="10"/>
      <c r="M139" s="10"/>
      <c r="N139" s="10"/>
      <c r="O139" s="10"/>
      <c r="P139" s="10"/>
      <c r="Q139" s="10"/>
      <c r="R139" s="10"/>
      <c r="S139" s="10"/>
      <c r="T139" s="10"/>
      <c r="U139" s="13"/>
      <c r="V139" s="10"/>
      <c r="W139" s="23"/>
      <c r="X139" s="10"/>
      <c r="Y139" s="10"/>
      <c r="Z139" s="10"/>
      <c r="AA139" s="10"/>
      <c r="AB139" s="10"/>
      <c r="AC139" s="10"/>
    </row>
    <row r="140" s="2" customFormat="1" spans="1:29">
      <c r="A140" s="10"/>
      <c r="B140" s="11"/>
      <c r="C140" s="10"/>
      <c r="D140" s="10"/>
      <c r="E140" s="10"/>
      <c r="F140" s="12"/>
      <c r="G140" s="13"/>
      <c r="H140" s="10"/>
      <c r="I140" s="17"/>
      <c r="J140" s="10"/>
      <c r="K140" s="10"/>
      <c r="L140" s="10"/>
      <c r="M140" s="10"/>
      <c r="N140" s="10"/>
      <c r="O140" s="10"/>
      <c r="P140" s="10"/>
      <c r="Q140" s="10"/>
      <c r="R140" s="10"/>
      <c r="S140" s="10"/>
      <c r="T140" s="10"/>
      <c r="U140" s="13"/>
      <c r="V140" s="10"/>
      <c r="W140" s="23"/>
      <c r="X140" s="10"/>
      <c r="Y140" s="10"/>
      <c r="Z140" s="10"/>
      <c r="AA140" s="10"/>
      <c r="AB140" s="10"/>
      <c r="AC140" s="10"/>
    </row>
    <row r="141" s="2" customFormat="1" spans="1:29">
      <c r="A141" s="10"/>
      <c r="B141" s="11"/>
      <c r="C141" s="10"/>
      <c r="D141" s="10"/>
      <c r="E141" s="10"/>
      <c r="F141" s="12"/>
      <c r="G141" s="13"/>
      <c r="H141" s="10"/>
      <c r="I141" s="17"/>
      <c r="J141" s="10"/>
      <c r="K141" s="10"/>
      <c r="L141" s="10"/>
      <c r="M141" s="10"/>
      <c r="N141" s="10"/>
      <c r="O141" s="10"/>
      <c r="P141" s="10"/>
      <c r="Q141" s="10"/>
      <c r="R141" s="10"/>
      <c r="S141" s="10"/>
      <c r="T141" s="10"/>
      <c r="U141" s="13"/>
      <c r="V141" s="10"/>
      <c r="W141" s="23"/>
      <c r="X141" s="10"/>
      <c r="Y141" s="10"/>
      <c r="Z141" s="10"/>
      <c r="AA141" s="10"/>
      <c r="AB141" s="10"/>
      <c r="AC141" s="10"/>
    </row>
    <row r="142" s="2" customFormat="1" spans="1:29">
      <c r="A142" s="10"/>
      <c r="B142" s="11"/>
      <c r="C142" s="10"/>
      <c r="D142" s="10"/>
      <c r="E142" s="10"/>
      <c r="F142" s="12"/>
      <c r="G142" s="13"/>
      <c r="H142" s="10"/>
      <c r="I142" s="17"/>
      <c r="J142" s="10"/>
      <c r="K142" s="10"/>
      <c r="L142" s="10"/>
      <c r="M142" s="10"/>
      <c r="N142" s="10"/>
      <c r="O142" s="10"/>
      <c r="P142" s="10"/>
      <c r="Q142" s="10"/>
      <c r="R142" s="10"/>
      <c r="S142" s="10"/>
      <c r="T142" s="10"/>
      <c r="U142" s="13"/>
      <c r="V142" s="10"/>
      <c r="W142" s="23"/>
      <c r="X142" s="10"/>
      <c r="Y142" s="10"/>
      <c r="Z142" s="10"/>
      <c r="AA142" s="10"/>
      <c r="AB142" s="10"/>
      <c r="AC142" s="10"/>
    </row>
    <row r="143" s="2" customFormat="1" spans="1:29">
      <c r="A143" s="10"/>
      <c r="B143" s="11"/>
      <c r="C143" s="10"/>
      <c r="D143" s="10"/>
      <c r="E143" s="10"/>
      <c r="F143" s="12"/>
      <c r="G143" s="13"/>
      <c r="H143" s="10"/>
      <c r="I143" s="17"/>
      <c r="J143" s="10"/>
      <c r="K143" s="10"/>
      <c r="L143" s="10"/>
      <c r="M143" s="10"/>
      <c r="N143" s="10"/>
      <c r="O143" s="10"/>
      <c r="P143" s="10"/>
      <c r="Q143" s="10"/>
      <c r="R143" s="10"/>
      <c r="S143" s="10"/>
      <c r="T143" s="10"/>
      <c r="U143" s="13"/>
      <c r="V143" s="10"/>
      <c r="W143" s="23"/>
      <c r="X143" s="10"/>
      <c r="Y143" s="10"/>
      <c r="Z143" s="10"/>
      <c r="AA143" s="10"/>
      <c r="AB143" s="10"/>
      <c r="AC143" s="10"/>
    </row>
    <row r="144" s="2" customFormat="1" spans="1:29">
      <c r="A144" s="10"/>
      <c r="B144" s="11"/>
      <c r="C144" s="10"/>
      <c r="D144" s="10"/>
      <c r="E144" s="10"/>
      <c r="F144" s="12"/>
      <c r="G144" s="13"/>
      <c r="H144" s="10"/>
      <c r="I144" s="17"/>
      <c r="J144" s="10"/>
      <c r="K144" s="10"/>
      <c r="L144" s="10"/>
      <c r="M144" s="10"/>
      <c r="N144" s="10"/>
      <c r="O144" s="10"/>
      <c r="P144" s="10"/>
      <c r="Q144" s="10"/>
      <c r="R144" s="10"/>
      <c r="S144" s="10"/>
      <c r="T144" s="10"/>
      <c r="U144" s="13"/>
      <c r="V144" s="10"/>
      <c r="W144" s="23"/>
      <c r="X144" s="10"/>
      <c r="Y144" s="10"/>
      <c r="Z144" s="10"/>
      <c r="AA144" s="10"/>
      <c r="AB144" s="10"/>
      <c r="AC144" s="10"/>
    </row>
    <row r="145" s="2" customFormat="1" spans="1:29">
      <c r="A145" s="10"/>
      <c r="B145" s="11"/>
      <c r="C145" s="10"/>
      <c r="D145" s="10"/>
      <c r="E145" s="10"/>
      <c r="F145" s="12"/>
      <c r="G145" s="13"/>
      <c r="H145" s="10"/>
      <c r="I145" s="17"/>
      <c r="J145" s="10"/>
      <c r="K145" s="10"/>
      <c r="L145" s="10"/>
      <c r="M145" s="10"/>
      <c r="N145" s="10"/>
      <c r="O145" s="10"/>
      <c r="P145" s="10"/>
      <c r="Q145" s="10"/>
      <c r="R145" s="10"/>
      <c r="S145" s="10"/>
      <c r="T145" s="10"/>
      <c r="U145" s="13"/>
      <c r="V145" s="10"/>
      <c r="W145" s="23"/>
      <c r="X145" s="10"/>
      <c r="Y145" s="10"/>
      <c r="Z145" s="10"/>
      <c r="AA145" s="10"/>
      <c r="AB145" s="10"/>
      <c r="AC145" s="10"/>
    </row>
    <row r="146" s="2" customFormat="1" spans="1:29">
      <c r="A146" s="10"/>
      <c r="B146" s="11"/>
      <c r="C146" s="10"/>
      <c r="D146" s="10"/>
      <c r="E146" s="10"/>
      <c r="F146" s="12"/>
      <c r="G146" s="13"/>
      <c r="H146" s="10"/>
      <c r="I146" s="17"/>
      <c r="J146" s="10"/>
      <c r="K146" s="10"/>
      <c r="L146" s="10"/>
      <c r="M146" s="10"/>
      <c r="N146" s="10"/>
      <c r="O146" s="10"/>
      <c r="P146" s="10"/>
      <c r="Q146" s="10"/>
      <c r="R146" s="10"/>
      <c r="S146" s="10"/>
      <c r="T146" s="10"/>
      <c r="U146" s="13"/>
      <c r="V146" s="10"/>
      <c r="W146" s="23"/>
      <c r="X146" s="10"/>
      <c r="Y146" s="10"/>
      <c r="Z146" s="10"/>
      <c r="AA146" s="10"/>
      <c r="AB146" s="10"/>
      <c r="AC146" s="10"/>
    </row>
    <row r="147" s="2" customFormat="1" spans="1:29">
      <c r="A147" s="10"/>
      <c r="B147" s="11"/>
      <c r="C147" s="10"/>
      <c r="D147" s="10"/>
      <c r="E147" s="10"/>
      <c r="F147" s="12"/>
      <c r="G147" s="13"/>
      <c r="H147" s="10"/>
      <c r="I147" s="17"/>
      <c r="J147" s="10"/>
      <c r="K147" s="10"/>
      <c r="L147" s="10"/>
      <c r="M147" s="10"/>
      <c r="N147" s="10"/>
      <c r="O147" s="10"/>
      <c r="P147" s="10"/>
      <c r="Q147" s="10"/>
      <c r="R147" s="10"/>
      <c r="S147" s="10"/>
      <c r="T147" s="10"/>
      <c r="U147" s="13"/>
      <c r="V147" s="10"/>
      <c r="W147" s="23"/>
      <c r="X147" s="10"/>
      <c r="Y147" s="10"/>
      <c r="Z147" s="10"/>
      <c r="AA147" s="10"/>
      <c r="AB147" s="10"/>
      <c r="AC147" s="10"/>
    </row>
    <row r="148" s="2" customFormat="1" spans="1:29">
      <c r="A148" s="10"/>
      <c r="B148" s="11"/>
      <c r="C148" s="10"/>
      <c r="D148" s="10"/>
      <c r="E148" s="10"/>
      <c r="F148" s="12"/>
      <c r="G148" s="13"/>
      <c r="H148" s="10"/>
      <c r="I148" s="17"/>
      <c r="J148" s="10"/>
      <c r="K148" s="10"/>
      <c r="L148" s="10"/>
      <c r="M148" s="10"/>
      <c r="N148" s="10"/>
      <c r="O148" s="10"/>
      <c r="P148" s="10"/>
      <c r="Q148" s="10"/>
      <c r="R148" s="10"/>
      <c r="S148" s="10"/>
      <c r="T148" s="10"/>
      <c r="U148" s="13"/>
      <c r="V148" s="10"/>
      <c r="W148" s="23"/>
      <c r="X148" s="10"/>
      <c r="Y148" s="10"/>
      <c r="Z148" s="10"/>
      <c r="AA148" s="10"/>
      <c r="AB148" s="10"/>
      <c r="AC148" s="10"/>
    </row>
    <row r="149" s="2" customFormat="1" spans="1:29">
      <c r="A149" s="10"/>
      <c r="B149" s="11"/>
      <c r="C149" s="10"/>
      <c r="D149" s="10"/>
      <c r="E149" s="10"/>
      <c r="F149" s="12"/>
      <c r="G149" s="13"/>
      <c r="H149" s="10"/>
      <c r="I149" s="17"/>
      <c r="J149" s="10"/>
      <c r="K149" s="10"/>
      <c r="L149" s="10"/>
      <c r="M149" s="10"/>
      <c r="N149" s="10"/>
      <c r="O149" s="10"/>
      <c r="P149" s="10"/>
      <c r="Q149" s="10"/>
      <c r="R149" s="10"/>
      <c r="S149" s="10"/>
      <c r="T149" s="10"/>
      <c r="U149" s="13"/>
      <c r="V149" s="10"/>
      <c r="W149" s="23"/>
      <c r="X149" s="10"/>
      <c r="Y149" s="10"/>
      <c r="Z149" s="10"/>
      <c r="AA149" s="10"/>
      <c r="AB149" s="10"/>
      <c r="AC149" s="10"/>
    </row>
    <row r="150" s="2" customFormat="1" spans="1:29">
      <c r="A150" s="10"/>
      <c r="B150" s="11"/>
      <c r="C150" s="10"/>
      <c r="D150" s="10"/>
      <c r="E150" s="10"/>
      <c r="F150" s="12"/>
      <c r="G150" s="13"/>
      <c r="H150" s="10"/>
      <c r="I150" s="17"/>
      <c r="J150" s="10"/>
      <c r="K150" s="10"/>
      <c r="L150" s="10"/>
      <c r="M150" s="10"/>
      <c r="N150" s="10"/>
      <c r="O150" s="10"/>
      <c r="P150" s="10"/>
      <c r="Q150" s="10"/>
      <c r="R150" s="10"/>
      <c r="S150" s="10"/>
      <c r="T150" s="10"/>
      <c r="U150" s="13"/>
      <c r="V150" s="10"/>
      <c r="W150" s="23"/>
      <c r="X150" s="10"/>
      <c r="Y150" s="10"/>
      <c r="Z150" s="10"/>
      <c r="AA150" s="10"/>
      <c r="AB150" s="10"/>
      <c r="AC150" s="10"/>
    </row>
    <row r="151" s="2" customFormat="1" spans="1:29">
      <c r="A151" s="10"/>
      <c r="B151" s="11"/>
      <c r="C151" s="10"/>
      <c r="D151" s="10"/>
      <c r="E151" s="10"/>
      <c r="F151" s="12"/>
      <c r="G151" s="13"/>
      <c r="H151" s="10"/>
      <c r="I151" s="17"/>
      <c r="J151" s="10"/>
      <c r="K151" s="10"/>
      <c r="L151" s="10"/>
      <c r="M151" s="10"/>
      <c r="N151" s="10"/>
      <c r="O151" s="10"/>
      <c r="P151" s="10"/>
      <c r="Q151" s="10"/>
      <c r="R151" s="10"/>
      <c r="S151" s="10"/>
      <c r="T151" s="10"/>
      <c r="U151" s="13"/>
      <c r="V151" s="10"/>
      <c r="W151" s="23"/>
      <c r="X151" s="10"/>
      <c r="Y151" s="10"/>
      <c r="Z151" s="10"/>
      <c r="AA151" s="10"/>
      <c r="AB151" s="10"/>
      <c r="AC151" s="10"/>
    </row>
    <row r="152" s="2" customFormat="1" spans="1:29">
      <c r="A152" s="10"/>
      <c r="B152" s="11"/>
      <c r="C152" s="10"/>
      <c r="D152" s="10"/>
      <c r="E152" s="10"/>
      <c r="F152" s="12"/>
      <c r="G152" s="13"/>
      <c r="H152" s="10"/>
      <c r="I152" s="17"/>
      <c r="J152" s="10"/>
      <c r="K152" s="10"/>
      <c r="L152" s="10"/>
      <c r="M152" s="10"/>
      <c r="N152" s="10"/>
      <c r="O152" s="10"/>
      <c r="P152" s="10"/>
      <c r="Q152" s="10"/>
      <c r="R152" s="10"/>
      <c r="S152" s="10"/>
      <c r="T152" s="10"/>
      <c r="U152" s="13"/>
      <c r="V152" s="10"/>
      <c r="W152" s="23"/>
      <c r="X152" s="10"/>
      <c r="Y152" s="10"/>
      <c r="Z152" s="10"/>
      <c r="AA152" s="10"/>
      <c r="AB152" s="10"/>
      <c r="AC152" s="10"/>
    </row>
    <row r="153" s="2" customFormat="1" spans="1:29">
      <c r="A153" s="10"/>
      <c r="B153" s="11"/>
      <c r="C153" s="10"/>
      <c r="D153" s="10"/>
      <c r="E153" s="10"/>
      <c r="F153" s="12"/>
      <c r="G153" s="13"/>
      <c r="H153" s="10"/>
      <c r="I153" s="17"/>
      <c r="J153" s="10"/>
      <c r="K153" s="10"/>
      <c r="L153" s="10"/>
      <c r="M153" s="10"/>
      <c r="N153" s="10"/>
      <c r="O153" s="10"/>
      <c r="P153" s="10"/>
      <c r="Q153" s="10"/>
      <c r="R153" s="10"/>
      <c r="S153" s="10"/>
      <c r="T153" s="10"/>
      <c r="U153" s="13"/>
      <c r="V153" s="10"/>
      <c r="W153" s="23"/>
      <c r="X153" s="10"/>
      <c r="Y153" s="10"/>
      <c r="Z153" s="10"/>
      <c r="AA153" s="10"/>
      <c r="AB153" s="10"/>
      <c r="AC153" s="10"/>
    </row>
    <row r="154" s="2" customFormat="1" spans="1:29">
      <c r="A154" s="10"/>
      <c r="B154" s="11"/>
      <c r="C154" s="10"/>
      <c r="D154" s="10"/>
      <c r="E154" s="10"/>
      <c r="F154" s="12"/>
      <c r="G154" s="13"/>
      <c r="H154" s="10"/>
      <c r="I154" s="17"/>
      <c r="J154" s="10"/>
      <c r="K154" s="10"/>
      <c r="L154" s="10"/>
      <c r="M154" s="10"/>
      <c r="N154" s="10"/>
      <c r="O154" s="10"/>
      <c r="P154" s="10"/>
      <c r="Q154" s="10"/>
      <c r="R154" s="10"/>
      <c r="S154" s="10"/>
      <c r="T154" s="10"/>
      <c r="U154" s="13"/>
      <c r="V154" s="10"/>
      <c r="W154" s="23"/>
      <c r="X154" s="10"/>
      <c r="Y154" s="10"/>
      <c r="Z154" s="10"/>
      <c r="AA154" s="10"/>
      <c r="AB154" s="10"/>
      <c r="AC154" s="10"/>
    </row>
    <row r="155" s="2" customFormat="1" spans="1:29">
      <c r="A155" s="10"/>
      <c r="B155" s="11"/>
      <c r="C155" s="10"/>
      <c r="D155" s="10"/>
      <c r="E155" s="10"/>
      <c r="F155" s="12"/>
      <c r="G155" s="13"/>
      <c r="H155" s="10"/>
      <c r="I155" s="17"/>
      <c r="J155" s="10"/>
      <c r="K155" s="10"/>
      <c r="L155" s="10"/>
      <c r="M155" s="10"/>
      <c r="N155" s="10"/>
      <c r="O155" s="10"/>
      <c r="P155" s="10"/>
      <c r="Q155" s="10"/>
      <c r="R155" s="10"/>
      <c r="S155" s="10"/>
      <c r="T155" s="10"/>
      <c r="U155" s="13"/>
      <c r="V155" s="10"/>
      <c r="W155" s="23"/>
      <c r="X155" s="10"/>
      <c r="Y155" s="10"/>
      <c r="Z155" s="10"/>
      <c r="AA155" s="10"/>
      <c r="AB155" s="10"/>
      <c r="AC155" s="10"/>
    </row>
    <row r="156" s="2" customFormat="1" spans="1:29">
      <c r="A156" s="10"/>
      <c r="B156" s="11"/>
      <c r="C156" s="10"/>
      <c r="D156" s="10"/>
      <c r="E156" s="10"/>
      <c r="F156" s="12"/>
      <c r="G156" s="13"/>
      <c r="H156" s="10"/>
      <c r="I156" s="17"/>
      <c r="J156" s="10"/>
      <c r="K156" s="10"/>
      <c r="L156" s="10"/>
      <c r="M156" s="10"/>
      <c r="N156" s="10"/>
      <c r="O156" s="10"/>
      <c r="P156" s="10"/>
      <c r="Q156" s="10"/>
      <c r="R156" s="10"/>
      <c r="S156" s="10"/>
      <c r="T156" s="10"/>
      <c r="U156" s="13"/>
      <c r="V156" s="10"/>
      <c r="W156" s="23"/>
      <c r="X156" s="10"/>
      <c r="Y156" s="10"/>
      <c r="Z156" s="10"/>
      <c r="AA156" s="10"/>
      <c r="AB156" s="10"/>
      <c r="AC156" s="10"/>
    </row>
    <row r="157" s="2" customFormat="1" spans="1:29">
      <c r="A157" s="10"/>
      <c r="B157" s="11"/>
      <c r="C157" s="10"/>
      <c r="D157" s="10"/>
      <c r="E157" s="10"/>
      <c r="F157" s="12"/>
      <c r="G157" s="13"/>
      <c r="H157" s="10"/>
      <c r="I157" s="17"/>
      <c r="J157" s="10"/>
      <c r="K157" s="10"/>
      <c r="L157" s="10"/>
      <c r="M157" s="10"/>
      <c r="N157" s="10"/>
      <c r="O157" s="10"/>
      <c r="P157" s="10"/>
      <c r="Q157" s="10"/>
      <c r="R157" s="10"/>
      <c r="S157" s="10"/>
      <c r="T157" s="10"/>
      <c r="U157" s="13"/>
      <c r="V157" s="10"/>
      <c r="W157" s="23"/>
      <c r="X157" s="10"/>
      <c r="Y157" s="10"/>
      <c r="Z157" s="10"/>
      <c r="AA157" s="10"/>
      <c r="AB157" s="10"/>
      <c r="AC157" s="10"/>
    </row>
    <row r="158" s="2" customFormat="1" spans="1:29">
      <c r="A158" s="10"/>
      <c r="B158" s="11"/>
      <c r="C158" s="10"/>
      <c r="D158" s="10"/>
      <c r="E158" s="10"/>
      <c r="F158" s="12"/>
      <c r="G158" s="13"/>
      <c r="H158" s="10"/>
      <c r="I158" s="17"/>
      <c r="J158" s="10"/>
      <c r="K158" s="10"/>
      <c r="L158" s="10"/>
      <c r="M158" s="10"/>
      <c r="N158" s="10"/>
      <c r="O158" s="10"/>
      <c r="P158" s="10"/>
      <c r="Q158" s="10"/>
      <c r="R158" s="10"/>
      <c r="S158" s="10"/>
      <c r="T158" s="10"/>
      <c r="U158" s="13"/>
      <c r="V158" s="10"/>
      <c r="W158" s="23"/>
      <c r="X158" s="10"/>
      <c r="Y158" s="10"/>
      <c r="Z158" s="10"/>
      <c r="AA158" s="10"/>
      <c r="AB158" s="10"/>
      <c r="AC158" s="10"/>
    </row>
    <row r="159" s="2" customFormat="1" spans="1:29">
      <c r="A159" s="10"/>
      <c r="B159" s="11"/>
      <c r="C159" s="10"/>
      <c r="D159" s="10"/>
      <c r="E159" s="10"/>
      <c r="F159" s="12"/>
      <c r="G159" s="13"/>
      <c r="H159" s="10"/>
      <c r="I159" s="17"/>
      <c r="J159" s="10"/>
      <c r="K159" s="10"/>
      <c r="L159" s="10"/>
      <c r="M159" s="10"/>
      <c r="N159" s="10"/>
      <c r="O159" s="10"/>
      <c r="P159" s="10"/>
      <c r="Q159" s="10"/>
      <c r="R159" s="10"/>
      <c r="S159" s="10"/>
      <c r="T159" s="10"/>
      <c r="U159" s="13"/>
      <c r="V159" s="10"/>
      <c r="W159" s="23"/>
      <c r="X159" s="10"/>
      <c r="Y159" s="10"/>
      <c r="Z159" s="10"/>
      <c r="AA159" s="10"/>
      <c r="AB159" s="10"/>
      <c r="AC159" s="10"/>
    </row>
    <row r="160" s="2" customFormat="1" spans="1:29">
      <c r="A160" s="10"/>
      <c r="B160" s="11"/>
      <c r="C160" s="10"/>
      <c r="D160" s="10"/>
      <c r="E160" s="10"/>
      <c r="F160" s="12"/>
      <c r="G160" s="13"/>
      <c r="H160" s="10"/>
      <c r="I160" s="17"/>
      <c r="J160" s="10"/>
      <c r="K160" s="10"/>
      <c r="L160" s="10"/>
      <c r="M160" s="10"/>
      <c r="N160" s="10"/>
      <c r="O160" s="10"/>
      <c r="P160" s="10"/>
      <c r="Q160" s="10"/>
      <c r="R160" s="10"/>
      <c r="S160" s="10"/>
      <c r="T160" s="10"/>
      <c r="U160" s="13"/>
      <c r="V160" s="10"/>
      <c r="W160" s="23"/>
      <c r="X160" s="10"/>
      <c r="Y160" s="10"/>
      <c r="Z160" s="10"/>
      <c r="AA160" s="10"/>
      <c r="AB160" s="10"/>
      <c r="AC160" s="10"/>
    </row>
    <row r="161" s="2" customFormat="1" spans="1:29">
      <c r="A161" s="10"/>
      <c r="B161" s="11"/>
      <c r="C161" s="10"/>
      <c r="D161" s="10"/>
      <c r="E161" s="10"/>
      <c r="F161" s="12"/>
      <c r="G161" s="13"/>
      <c r="H161" s="10"/>
      <c r="I161" s="17"/>
      <c r="J161" s="10"/>
      <c r="K161" s="10"/>
      <c r="L161" s="10"/>
      <c r="M161" s="10"/>
      <c r="N161" s="10"/>
      <c r="O161" s="10"/>
      <c r="P161" s="10"/>
      <c r="Q161" s="10"/>
      <c r="R161" s="10"/>
      <c r="S161" s="10"/>
      <c r="T161" s="10"/>
      <c r="U161" s="13"/>
      <c r="V161" s="10"/>
      <c r="W161" s="23"/>
      <c r="X161" s="10"/>
      <c r="Y161" s="10"/>
      <c r="Z161" s="10"/>
      <c r="AA161" s="10"/>
      <c r="AB161" s="10"/>
      <c r="AC161" s="10"/>
    </row>
    <row r="162" s="2" customFormat="1" spans="1:29">
      <c r="A162" s="10"/>
      <c r="B162" s="11"/>
      <c r="C162" s="10"/>
      <c r="D162" s="10"/>
      <c r="E162" s="10"/>
      <c r="F162" s="12"/>
      <c r="G162" s="13"/>
      <c r="H162" s="10"/>
      <c r="I162" s="17"/>
      <c r="J162" s="10"/>
      <c r="K162" s="10"/>
      <c r="L162" s="10"/>
      <c r="M162" s="10"/>
      <c r="N162" s="10"/>
      <c r="O162" s="10"/>
      <c r="P162" s="10"/>
      <c r="Q162" s="10"/>
      <c r="R162" s="10"/>
      <c r="S162" s="10"/>
      <c r="T162" s="10"/>
      <c r="U162" s="13"/>
      <c r="V162" s="10"/>
      <c r="W162" s="23"/>
      <c r="X162" s="10"/>
      <c r="Y162" s="10"/>
      <c r="Z162" s="10"/>
      <c r="AA162" s="10"/>
      <c r="AB162" s="10"/>
      <c r="AC162" s="10"/>
    </row>
    <row r="163" s="2" customFormat="1" spans="1:29">
      <c r="A163" s="10"/>
      <c r="B163" s="11"/>
      <c r="C163" s="10"/>
      <c r="D163" s="10"/>
      <c r="E163" s="10"/>
      <c r="F163" s="12"/>
      <c r="G163" s="13"/>
      <c r="H163" s="10"/>
      <c r="I163" s="17"/>
      <c r="J163" s="10"/>
      <c r="K163" s="10"/>
      <c r="L163" s="10"/>
      <c r="M163" s="10"/>
      <c r="N163" s="10"/>
      <c r="O163" s="10"/>
      <c r="P163" s="10"/>
      <c r="Q163" s="10"/>
      <c r="R163" s="10"/>
      <c r="S163" s="10"/>
      <c r="T163" s="10"/>
      <c r="U163" s="13"/>
      <c r="V163" s="10"/>
      <c r="W163" s="23"/>
      <c r="X163" s="10"/>
      <c r="Y163" s="10"/>
      <c r="Z163" s="10"/>
      <c r="AA163" s="10"/>
      <c r="AB163" s="10"/>
      <c r="AC163" s="10"/>
    </row>
    <row r="164" s="2" customFormat="1" spans="1:29">
      <c r="A164" s="10"/>
      <c r="B164" s="11"/>
      <c r="C164" s="10"/>
      <c r="D164" s="10"/>
      <c r="E164" s="10"/>
      <c r="F164" s="12"/>
      <c r="G164" s="13"/>
      <c r="H164" s="10"/>
      <c r="I164" s="17"/>
      <c r="J164" s="10"/>
      <c r="K164" s="10"/>
      <c r="L164" s="10"/>
      <c r="M164" s="10"/>
      <c r="N164" s="10"/>
      <c r="O164" s="10"/>
      <c r="P164" s="10"/>
      <c r="Q164" s="10"/>
      <c r="R164" s="10"/>
      <c r="S164" s="10"/>
      <c r="T164" s="10"/>
      <c r="U164" s="13"/>
      <c r="V164" s="10"/>
      <c r="W164" s="23"/>
      <c r="X164" s="10"/>
      <c r="Y164" s="10"/>
      <c r="Z164" s="10"/>
      <c r="AA164" s="10"/>
      <c r="AB164" s="10"/>
      <c r="AC164" s="10"/>
    </row>
    <row r="165" s="2" customFormat="1" spans="1:29">
      <c r="A165" s="10"/>
      <c r="B165" s="11"/>
      <c r="C165" s="10"/>
      <c r="D165" s="10"/>
      <c r="E165" s="10"/>
      <c r="F165" s="12"/>
      <c r="G165" s="13"/>
      <c r="H165" s="10"/>
      <c r="I165" s="17"/>
      <c r="J165" s="10"/>
      <c r="K165" s="10"/>
      <c r="L165" s="10"/>
      <c r="M165" s="10"/>
      <c r="N165" s="10"/>
      <c r="O165" s="10"/>
      <c r="P165" s="10"/>
      <c r="Q165" s="10"/>
      <c r="R165" s="10"/>
      <c r="S165" s="10"/>
      <c r="T165" s="10"/>
      <c r="U165" s="13"/>
      <c r="V165" s="10"/>
      <c r="W165" s="23"/>
      <c r="X165" s="10"/>
      <c r="Y165" s="10"/>
      <c r="Z165" s="10"/>
      <c r="AA165" s="10"/>
      <c r="AB165" s="10"/>
      <c r="AC165" s="10"/>
    </row>
    <row r="166" s="2" customFormat="1" spans="1:29">
      <c r="A166" s="10"/>
      <c r="B166" s="11"/>
      <c r="C166" s="10"/>
      <c r="D166" s="10"/>
      <c r="E166" s="10"/>
      <c r="F166" s="12"/>
      <c r="G166" s="13"/>
      <c r="H166" s="10"/>
      <c r="I166" s="17"/>
      <c r="J166" s="10"/>
      <c r="K166" s="10"/>
      <c r="L166" s="10"/>
      <c r="M166" s="10"/>
      <c r="N166" s="10"/>
      <c r="O166" s="10"/>
      <c r="P166" s="10"/>
      <c r="Q166" s="10"/>
      <c r="R166" s="10"/>
      <c r="S166" s="10"/>
      <c r="T166" s="10"/>
      <c r="U166" s="13"/>
      <c r="V166" s="10"/>
      <c r="W166" s="23"/>
      <c r="X166" s="10"/>
      <c r="Y166" s="10"/>
      <c r="Z166" s="10"/>
      <c r="AA166" s="10"/>
      <c r="AB166" s="10"/>
      <c r="AC166" s="10"/>
    </row>
    <row r="167" s="2" customFormat="1" spans="1:29">
      <c r="A167" s="10"/>
      <c r="B167" s="11"/>
      <c r="C167" s="10"/>
      <c r="D167" s="10"/>
      <c r="E167" s="10"/>
      <c r="F167" s="12"/>
      <c r="G167" s="13"/>
      <c r="H167" s="10"/>
      <c r="I167" s="17"/>
      <c r="J167" s="10"/>
      <c r="K167" s="10"/>
      <c r="L167" s="10"/>
      <c r="M167" s="10"/>
      <c r="N167" s="10"/>
      <c r="O167" s="10"/>
      <c r="P167" s="10"/>
      <c r="Q167" s="10"/>
      <c r="R167" s="10"/>
      <c r="S167" s="10"/>
      <c r="T167" s="10"/>
      <c r="U167" s="13"/>
      <c r="V167" s="10"/>
      <c r="W167" s="23"/>
      <c r="X167" s="10"/>
      <c r="Y167" s="10"/>
      <c r="Z167" s="10"/>
      <c r="AA167" s="10"/>
      <c r="AB167" s="10"/>
      <c r="AC167" s="10"/>
    </row>
    <row r="168" s="2" customFormat="1" spans="1:29">
      <c r="A168" s="10"/>
      <c r="B168" s="11"/>
      <c r="C168" s="10"/>
      <c r="D168" s="10"/>
      <c r="E168" s="10"/>
      <c r="F168" s="12"/>
      <c r="G168" s="13"/>
      <c r="H168" s="10"/>
      <c r="I168" s="17"/>
      <c r="J168" s="10"/>
      <c r="K168" s="10"/>
      <c r="L168" s="10"/>
      <c r="M168" s="10"/>
      <c r="N168" s="10"/>
      <c r="O168" s="10"/>
      <c r="P168" s="10"/>
      <c r="Q168" s="10"/>
      <c r="R168" s="10"/>
      <c r="S168" s="10"/>
      <c r="T168" s="10"/>
      <c r="U168" s="13"/>
      <c r="V168" s="10"/>
      <c r="W168" s="23"/>
      <c r="X168" s="10"/>
      <c r="Y168" s="10"/>
      <c r="Z168" s="10"/>
      <c r="AA168" s="10"/>
      <c r="AB168" s="10"/>
      <c r="AC168" s="10"/>
    </row>
    <row r="169" s="2" customFormat="1" spans="1:29">
      <c r="A169" s="10"/>
      <c r="B169" s="11"/>
      <c r="C169" s="10"/>
      <c r="D169" s="10"/>
      <c r="E169" s="10"/>
      <c r="F169" s="12"/>
      <c r="G169" s="13"/>
      <c r="H169" s="10"/>
      <c r="I169" s="17"/>
      <c r="J169" s="10"/>
      <c r="K169" s="10"/>
      <c r="L169" s="10"/>
      <c r="M169" s="10"/>
      <c r="N169" s="10"/>
      <c r="O169" s="10"/>
      <c r="P169" s="10"/>
      <c r="Q169" s="10"/>
      <c r="R169" s="10"/>
      <c r="S169" s="10"/>
      <c r="T169" s="10"/>
      <c r="U169" s="13"/>
      <c r="V169" s="10"/>
      <c r="W169" s="23"/>
      <c r="X169" s="10"/>
      <c r="Y169" s="10"/>
      <c r="Z169" s="10"/>
      <c r="AA169" s="10"/>
      <c r="AB169" s="10"/>
      <c r="AC169" s="10"/>
    </row>
    <row r="170" s="2" customFormat="1" spans="1:29">
      <c r="A170" s="10"/>
      <c r="B170" s="11"/>
      <c r="C170" s="10"/>
      <c r="D170" s="10"/>
      <c r="E170" s="10"/>
      <c r="F170" s="12"/>
      <c r="G170" s="13"/>
      <c r="H170" s="10"/>
      <c r="I170" s="17"/>
      <c r="J170" s="10"/>
      <c r="K170" s="10"/>
      <c r="L170" s="10"/>
      <c r="M170" s="10"/>
      <c r="N170" s="10"/>
      <c r="O170" s="10"/>
      <c r="P170" s="10"/>
      <c r="Q170" s="10"/>
      <c r="R170" s="10"/>
      <c r="S170" s="10"/>
      <c r="T170" s="10"/>
      <c r="U170" s="13"/>
      <c r="V170" s="10"/>
      <c r="W170" s="23"/>
      <c r="X170" s="10"/>
      <c r="Y170" s="10"/>
      <c r="Z170" s="10"/>
      <c r="AA170" s="10"/>
      <c r="AB170" s="10"/>
      <c r="AC170" s="10"/>
    </row>
    <row r="171" s="2" customFormat="1" spans="1:29">
      <c r="A171" s="10"/>
      <c r="B171" s="11"/>
      <c r="C171" s="10"/>
      <c r="D171" s="10"/>
      <c r="E171" s="10"/>
      <c r="F171" s="12"/>
      <c r="G171" s="13"/>
      <c r="H171" s="10"/>
      <c r="I171" s="17"/>
      <c r="J171" s="10"/>
      <c r="K171" s="10"/>
      <c r="L171" s="10"/>
      <c r="M171" s="10"/>
      <c r="N171" s="10"/>
      <c r="O171" s="10"/>
      <c r="P171" s="10"/>
      <c r="Q171" s="10"/>
      <c r="R171" s="10"/>
      <c r="S171" s="10"/>
      <c r="T171" s="10"/>
      <c r="U171" s="13"/>
      <c r="V171" s="10"/>
      <c r="W171" s="23"/>
      <c r="X171" s="10"/>
      <c r="Y171" s="10"/>
      <c r="Z171" s="10"/>
      <c r="AA171" s="10"/>
      <c r="AB171" s="10"/>
      <c r="AC171" s="10"/>
    </row>
    <row r="172" s="2" customFormat="1" spans="1:29">
      <c r="A172" s="10"/>
      <c r="B172" s="11"/>
      <c r="C172" s="10"/>
      <c r="D172" s="10"/>
      <c r="E172" s="10"/>
      <c r="F172" s="12"/>
      <c r="G172" s="13"/>
      <c r="H172" s="10"/>
      <c r="I172" s="17"/>
      <c r="J172" s="10"/>
      <c r="K172" s="10"/>
      <c r="L172" s="10"/>
      <c r="M172" s="10"/>
      <c r="N172" s="10"/>
      <c r="O172" s="10"/>
      <c r="P172" s="10"/>
      <c r="Q172" s="10"/>
      <c r="R172" s="10"/>
      <c r="S172" s="10"/>
      <c r="T172" s="10"/>
      <c r="U172" s="13"/>
      <c r="V172" s="10"/>
      <c r="W172" s="23"/>
      <c r="X172" s="10"/>
      <c r="Y172" s="10"/>
      <c r="Z172" s="10"/>
      <c r="AA172" s="10"/>
      <c r="AB172" s="10"/>
      <c r="AC172" s="10"/>
    </row>
    <row r="173" s="2" customFormat="1" spans="1:29">
      <c r="A173" s="10"/>
      <c r="B173" s="11"/>
      <c r="C173" s="10"/>
      <c r="D173" s="10"/>
      <c r="E173" s="10"/>
      <c r="F173" s="12"/>
      <c r="G173" s="13"/>
      <c r="H173" s="10"/>
      <c r="I173" s="17"/>
      <c r="J173" s="10"/>
      <c r="K173" s="10"/>
      <c r="L173" s="10"/>
      <c r="M173" s="10"/>
      <c r="N173" s="10"/>
      <c r="O173" s="10"/>
      <c r="P173" s="10"/>
      <c r="Q173" s="10"/>
      <c r="R173" s="26"/>
      <c r="S173" s="10"/>
      <c r="T173" s="10"/>
      <c r="U173" s="13"/>
      <c r="V173" s="10"/>
      <c r="W173" s="23"/>
      <c r="X173" s="10"/>
      <c r="Y173" s="10"/>
      <c r="Z173" s="10"/>
      <c r="AA173" s="10"/>
      <c r="AB173" s="10"/>
      <c r="AC173" s="10"/>
    </row>
    <row r="174" s="2" customFormat="1" spans="1:29">
      <c r="A174" s="10"/>
      <c r="B174" s="11"/>
      <c r="C174" s="10"/>
      <c r="D174" s="10"/>
      <c r="E174" s="10"/>
      <c r="F174" s="12"/>
      <c r="G174" s="13"/>
      <c r="H174" s="10"/>
      <c r="I174" s="17"/>
      <c r="J174" s="10"/>
      <c r="K174" s="10"/>
      <c r="L174" s="10"/>
      <c r="M174" s="10"/>
      <c r="N174" s="10"/>
      <c r="O174" s="10"/>
      <c r="P174" s="10"/>
      <c r="Q174" s="10"/>
      <c r="R174" s="26"/>
      <c r="S174" s="10"/>
      <c r="T174" s="10"/>
      <c r="U174" s="13"/>
      <c r="V174" s="10"/>
      <c r="W174" s="23"/>
      <c r="X174" s="10"/>
      <c r="Y174" s="10"/>
      <c r="Z174" s="10"/>
      <c r="AA174" s="10"/>
      <c r="AB174" s="10"/>
      <c r="AC174" s="10"/>
    </row>
    <row r="175" s="2" customFormat="1" spans="1:29">
      <c r="A175" s="10"/>
      <c r="B175" s="11"/>
      <c r="C175" s="10"/>
      <c r="D175" s="10"/>
      <c r="E175" s="10"/>
      <c r="F175" s="12"/>
      <c r="G175" s="13"/>
      <c r="H175" s="10"/>
      <c r="I175" s="17"/>
      <c r="J175" s="10"/>
      <c r="K175" s="10"/>
      <c r="L175" s="10"/>
      <c r="M175" s="10"/>
      <c r="N175" s="10"/>
      <c r="O175" s="10"/>
      <c r="P175" s="10"/>
      <c r="Q175" s="10"/>
      <c r="R175" s="26"/>
      <c r="S175" s="10"/>
      <c r="T175" s="10"/>
      <c r="U175" s="13"/>
      <c r="V175" s="10"/>
      <c r="W175" s="23"/>
      <c r="X175" s="10"/>
      <c r="Y175" s="10"/>
      <c r="Z175" s="10"/>
      <c r="AA175" s="10"/>
      <c r="AB175" s="10"/>
      <c r="AC175" s="10"/>
    </row>
    <row r="176" s="2" customFormat="1" spans="1:29">
      <c r="A176" s="10"/>
      <c r="B176" s="11"/>
      <c r="C176" s="10"/>
      <c r="D176" s="10"/>
      <c r="E176" s="10"/>
      <c r="F176" s="12"/>
      <c r="G176" s="13"/>
      <c r="H176" s="19"/>
      <c r="I176" s="18"/>
      <c r="J176" s="19"/>
      <c r="K176" s="19"/>
      <c r="L176" s="19"/>
      <c r="M176" s="19"/>
      <c r="N176" s="19"/>
      <c r="O176" s="19"/>
      <c r="P176" s="19"/>
      <c r="Q176" s="19"/>
      <c r="R176" s="19"/>
      <c r="S176" s="19"/>
      <c r="T176" s="19"/>
      <c r="U176" s="13"/>
      <c r="V176" s="10"/>
      <c r="W176" s="23"/>
      <c r="X176" s="10"/>
      <c r="Y176" s="10"/>
      <c r="Z176" s="10"/>
      <c r="AA176" s="10"/>
      <c r="AB176" s="10"/>
      <c r="AC176" s="10"/>
    </row>
    <row r="177" s="2" customFormat="1" spans="1:29">
      <c r="A177" s="10"/>
      <c r="B177" s="11"/>
      <c r="C177" s="10"/>
      <c r="D177" s="10"/>
      <c r="E177" s="10"/>
      <c r="F177" s="12"/>
      <c r="G177" s="13"/>
      <c r="H177" s="10"/>
      <c r="I177" s="17"/>
      <c r="J177" s="10"/>
      <c r="K177" s="10"/>
      <c r="L177" s="10"/>
      <c r="M177" s="10"/>
      <c r="N177" s="10"/>
      <c r="O177" s="10"/>
      <c r="P177" s="10"/>
      <c r="Q177" s="10"/>
      <c r="R177" s="26"/>
      <c r="S177" s="10"/>
      <c r="T177" s="10"/>
      <c r="U177" s="13"/>
      <c r="V177" s="10"/>
      <c r="W177" s="23"/>
      <c r="X177" s="10"/>
      <c r="Y177" s="10"/>
      <c r="Z177" s="10"/>
      <c r="AA177" s="10"/>
      <c r="AB177" s="10"/>
      <c r="AC177" s="10"/>
    </row>
    <row r="178" s="2" customFormat="1" spans="1:29">
      <c r="A178" s="10"/>
      <c r="B178" s="11"/>
      <c r="C178" s="10"/>
      <c r="D178" s="10"/>
      <c r="E178" s="10"/>
      <c r="F178" s="12"/>
      <c r="G178" s="13"/>
      <c r="H178" s="10"/>
      <c r="I178" s="17"/>
      <c r="J178" s="10"/>
      <c r="K178" s="10"/>
      <c r="L178" s="10"/>
      <c r="M178" s="10"/>
      <c r="N178" s="10"/>
      <c r="O178" s="10"/>
      <c r="P178" s="10"/>
      <c r="Q178" s="10"/>
      <c r="R178" s="26"/>
      <c r="S178" s="10"/>
      <c r="T178" s="10"/>
      <c r="U178" s="13"/>
      <c r="V178" s="10"/>
      <c r="W178" s="23"/>
      <c r="X178" s="10"/>
      <c r="Y178" s="10"/>
      <c r="Z178" s="10"/>
      <c r="AA178" s="10"/>
      <c r="AB178" s="10"/>
      <c r="AC178" s="10"/>
    </row>
    <row r="179" s="2" customFormat="1" spans="1:29">
      <c r="A179" s="10"/>
      <c r="B179" s="11"/>
      <c r="C179" s="10"/>
      <c r="D179" s="10"/>
      <c r="E179" s="10"/>
      <c r="F179" s="12"/>
      <c r="G179" s="13"/>
      <c r="H179" s="10"/>
      <c r="I179" s="17"/>
      <c r="J179" s="10"/>
      <c r="K179" s="10"/>
      <c r="L179" s="10"/>
      <c r="M179" s="10"/>
      <c r="N179" s="10"/>
      <c r="O179" s="10"/>
      <c r="P179" s="10"/>
      <c r="Q179" s="10"/>
      <c r="R179" s="26"/>
      <c r="S179" s="10"/>
      <c r="T179" s="10"/>
      <c r="U179" s="13"/>
      <c r="V179" s="10"/>
      <c r="W179" s="23"/>
      <c r="X179" s="10"/>
      <c r="Y179" s="10"/>
      <c r="Z179" s="10"/>
      <c r="AA179" s="10"/>
      <c r="AB179" s="10"/>
      <c r="AC179" s="10"/>
    </row>
    <row r="180" s="2" customFormat="1" spans="1:29">
      <c r="A180" s="10"/>
      <c r="B180" s="11"/>
      <c r="C180" s="10"/>
      <c r="D180" s="10"/>
      <c r="E180" s="10"/>
      <c r="F180" s="12"/>
      <c r="G180" s="13"/>
      <c r="H180" s="10"/>
      <c r="I180" s="17"/>
      <c r="J180" s="10"/>
      <c r="K180" s="10"/>
      <c r="L180" s="10"/>
      <c r="M180" s="10"/>
      <c r="N180" s="10"/>
      <c r="O180" s="10"/>
      <c r="P180" s="10"/>
      <c r="Q180" s="10"/>
      <c r="R180" s="26"/>
      <c r="S180" s="10"/>
      <c r="T180" s="10"/>
      <c r="U180" s="13"/>
      <c r="V180" s="10"/>
      <c r="W180" s="23"/>
      <c r="X180" s="10"/>
      <c r="Y180" s="10"/>
      <c r="Z180" s="10"/>
      <c r="AA180" s="10"/>
      <c r="AB180" s="10"/>
      <c r="AC180" s="10"/>
    </row>
    <row r="181" s="2" customFormat="1" spans="1:29">
      <c r="A181" s="10"/>
      <c r="B181" s="11"/>
      <c r="C181" s="10"/>
      <c r="D181" s="10"/>
      <c r="E181" s="10"/>
      <c r="F181" s="12"/>
      <c r="G181" s="13"/>
      <c r="H181" s="10"/>
      <c r="I181" s="17"/>
      <c r="J181" s="10"/>
      <c r="K181" s="10"/>
      <c r="L181" s="10"/>
      <c r="M181" s="10"/>
      <c r="N181" s="10"/>
      <c r="O181" s="10"/>
      <c r="P181" s="10"/>
      <c r="Q181" s="10"/>
      <c r="R181" s="26"/>
      <c r="S181" s="10"/>
      <c r="T181" s="10"/>
      <c r="U181" s="13"/>
      <c r="V181" s="10"/>
      <c r="W181" s="23"/>
      <c r="X181" s="10"/>
      <c r="Y181" s="10"/>
      <c r="Z181" s="10"/>
      <c r="AA181" s="10"/>
      <c r="AB181" s="10"/>
      <c r="AC181" s="10"/>
    </row>
    <row r="182" s="2" customFormat="1" spans="1:29">
      <c r="A182" s="10"/>
      <c r="B182" s="11"/>
      <c r="C182" s="10"/>
      <c r="D182" s="10"/>
      <c r="E182" s="10"/>
      <c r="F182" s="12"/>
      <c r="G182" s="13"/>
      <c r="H182" s="10"/>
      <c r="I182" s="17"/>
      <c r="J182" s="10"/>
      <c r="K182" s="10"/>
      <c r="L182" s="10"/>
      <c r="M182" s="10"/>
      <c r="N182" s="10"/>
      <c r="O182" s="10"/>
      <c r="P182" s="10"/>
      <c r="Q182" s="10"/>
      <c r="R182" s="26"/>
      <c r="S182" s="10"/>
      <c r="T182" s="10"/>
      <c r="U182" s="13"/>
      <c r="V182" s="10"/>
      <c r="W182" s="23"/>
      <c r="X182" s="10"/>
      <c r="Y182" s="10"/>
      <c r="Z182" s="10"/>
      <c r="AA182" s="10"/>
      <c r="AB182" s="10"/>
      <c r="AC182" s="10"/>
    </row>
    <row r="183" s="2" customFormat="1" spans="1:29">
      <c r="A183" s="10"/>
      <c r="B183" s="11"/>
      <c r="C183" s="10"/>
      <c r="D183" s="10"/>
      <c r="E183" s="10"/>
      <c r="F183" s="12"/>
      <c r="G183" s="13"/>
      <c r="H183" s="10"/>
      <c r="I183" s="17"/>
      <c r="J183" s="10"/>
      <c r="K183" s="10"/>
      <c r="L183" s="10"/>
      <c r="M183" s="10"/>
      <c r="N183" s="10"/>
      <c r="O183" s="10"/>
      <c r="P183" s="10"/>
      <c r="Q183" s="10"/>
      <c r="R183" s="26"/>
      <c r="S183" s="10"/>
      <c r="T183" s="10"/>
      <c r="U183" s="13"/>
      <c r="V183" s="10"/>
      <c r="W183" s="23"/>
      <c r="X183" s="10"/>
      <c r="Y183" s="10"/>
      <c r="Z183" s="10"/>
      <c r="AA183" s="10"/>
      <c r="AB183" s="10"/>
      <c r="AC183" s="10"/>
    </row>
    <row r="184" s="2" customFormat="1" spans="1:29">
      <c r="A184" s="10"/>
      <c r="B184" s="11"/>
      <c r="C184" s="10"/>
      <c r="D184" s="10"/>
      <c r="E184" s="10"/>
      <c r="F184" s="12"/>
      <c r="G184" s="13"/>
      <c r="H184" s="10"/>
      <c r="I184" s="17"/>
      <c r="J184" s="10"/>
      <c r="K184" s="10"/>
      <c r="L184" s="10"/>
      <c r="M184" s="10"/>
      <c r="N184" s="10"/>
      <c r="O184" s="10"/>
      <c r="P184" s="10"/>
      <c r="Q184" s="10"/>
      <c r="R184" s="26"/>
      <c r="S184" s="10"/>
      <c r="T184" s="10"/>
      <c r="U184" s="13"/>
      <c r="V184" s="10"/>
      <c r="W184" s="23"/>
      <c r="X184" s="10"/>
      <c r="Y184" s="10"/>
      <c r="Z184" s="10"/>
      <c r="AA184" s="10"/>
      <c r="AB184" s="10"/>
      <c r="AC184" s="10"/>
    </row>
    <row r="185" s="2" customFormat="1" spans="1:29">
      <c r="A185" s="10"/>
      <c r="B185" s="11"/>
      <c r="C185" s="10"/>
      <c r="D185" s="10"/>
      <c r="E185" s="10"/>
      <c r="F185" s="12"/>
      <c r="G185" s="13"/>
      <c r="H185" s="10"/>
      <c r="I185" s="17"/>
      <c r="J185" s="10"/>
      <c r="K185" s="10"/>
      <c r="L185" s="10"/>
      <c r="M185" s="10"/>
      <c r="N185" s="10"/>
      <c r="O185" s="10"/>
      <c r="P185" s="10"/>
      <c r="Q185" s="10"/>
      <c r="R185" s="26"/>
      <c r="S185" s="10"/>
      <c r="T185" s="10"/>
      <c r="U185" s="13"/>
      <c r="V185" s="10"/>
      <c r="W185" s="23"/>
      <c r="X185" s="10"/>
      <c r="Y185" s="10"/>
      <c r="Z185" s="10"/>
      <c r="AA185" s="10"/>
      <c r="AB185" s="10"/>
      <c r="AC185" s="10"/>
    </row>
    <row r="186" s="2" customFormat="1" spans="1:29">
      <c r="A186" s="10"/>
      <c r="B186" s="11"/>
      <c r="C186" s="10"/>
      <c r="D186" s="10"/>
      <c r="E186" s="10"/>
      <c r="F186" s="12"/>
      <c r="G186" s="13"/>
      <c r="H186" s="10"/>
      <c r="I186" s="17"/>
      <c r="J186" s="10"/>
      <c r="K186" s="10"/>
      <c r="L186" s="10"/>
      <c r="M186" s="10"/>
      <c r="N186" s="10"/>
      <c r="O186" s="10"/>
      <c r="P186" s="10"/>
      <c r="Q186" s="10"/>
      <c r="R186" s="26"/>
      <c r="S186" s="10"/>
      <c r="T186" s="10"/>
      <c r="U186" s="13"/>
      <c r="V186" s="10"/>
      <c r="W186" s="23"/>
      <c r="X186" s="10"/>
      <c r="Y186" s="10"/>
      <c r="Z186" s="10"/>
      <c r="AA186" s="10"/>
      <c r="AB186" s="10"/>
      <c r="AC186" s="10"/>
    </row>
    <row r="187" s="2" customFormat="1" spans="1:29">
      <c r="A187" s="10"/>
      <c r="B187" s="11"/>
      <c r="C187" s="10"/>
      <c r="D187" s="10"/>
      <c r="E187" s="10"/>
      <c r="F187" s="12"/>
      <c r="G187" s="13"/>
      <c r="H187" s="10"/>
      <c r="I187" s="17"/>
      <c r="J187" s="10"/>
      <c r="K187" s="10"/>
      <c r="L187" s="10"/>
      <c r="M187" s="10"/>
      <c r="N187" s="10"/>
      <c r="O187" s="10"/>
      <c r="P187" s="10"/>
      <c r="Q187" s="10"/>
      <c r="R187" s="26"/>
      <c r="S187" s="10"/>
      <c r="T187" s="10"/>
      <c r="U187" s="13"/>
      <c r="V187" s="10"/>
      <c r="W187" s="23"/>
      <c r="X187" s="10"/>
      <c r="Y187" s="10"/>
      <c r="Z187" s="10"/>
      <c r="AA187" s="10"/>
      <c r="AB187" s="10"/>
      <c r="AC187" s="10"/>
    </row>
    <row r="188" s="2" customFormat="1" spans="1:29">
      <c r="A188" s="10"/>
      <c r="B188" s="11"/>
      <c r="C188" s="10"/>
      <c r="D188" s="10"/>
      <c r="E188" s="10"/>
      <c r="F188" s="12"/>
      <c r="G188" s="13"/>
      <c r="H188" s="10"/>
      <c r="I188" s="17"/>
      <c r="J188" s="10"/>
      <c r="K188" s="10"/>
      <c r="L188" s="10"/>
      <c r="M188" s="10"/>
      <c r="N188" s="10"/>
      <c r="O188" s="10"/>
      <c r="P188" s="10"/>
      <c r="Q188" s="10"/>
      <c r="R188" s="26"/>
      <c r="S188" s="10"/>
      <c r="T188" s="10"/>
      <c r="U188" s="13"/>
      <c r="V188" s="10"/>
      <c r="W188" s="23"/>
      <c r="X188" s="10"/>
      <c r="Y188" s="10"/>
      <c r="Z188" s="10"/>
      <c r="AA188" s="10"/>
      <c r="AB188" s="10"/>
      <c r="AC188" s="10"/>
    </row>
    <row r="189" s="2" customFormat="1" spans="1:29">
      <c r="A189" s="10"/>
      <c r="B189" s="11"/>
      <c r="C189" s="10"/>
      <c r="D189" s="10"/>
      <c r="E189" s="10"/>
      <c r="F189" s="12"/>
      <c r="G189" s="13"/>
      <c r="H189" s="10"/>
      <c r="I189" s="17"/>
      <c r="J189" s="10"/>
      <c r="K189" s="10"/>
      <c r="L189" s="10"/>
      <c r="M189" s="10"/>
      <c r="N189" s="10"/>
      <c r="O189" s="10"/>
      <c r="P189" s="10"/>
      <c r="Q189" s="10"/>
      <c r="R189" s="26"/>
      <c r="S189" s="10"/>
      <c r="T189" s="10"/>
      <c r="U189" s="13"/>
      <c r="V189" s="10"/>
      <c r="W189" s="23"/>
      <c r="X189" s="10"/>
      <c r="Y189" s="10"/>
      <c r="Z189" s="10"/>
      <c r="AA189" s="10"/>
      <c r="AB189" s="10"/>
      <c r="AC189" s="10"/>
    </row>
    <row r="190" s="2" customFormat="1" spans="1:29">
      <c r="A190" s="10"/>
      <c r="B190" s="11"/>
      <c r="C190" s="10"/>
      <c r="D190" s="10"/>
      <c r="E190" s="10"/>
      <c r="F190" s="12"/>
      <c r="G190" s="13"/>
      <c r="H190" s="10"/>
      <c r="I190" s="17"/>
      <c r="J190" s="10"/>
      <c r="K190" s="10"/>
      <c r="L190" s="10"/>
      <c r="M190" s="10"/>
      <c r="N190" s="10"/>
      <c r="O190" s="10"/>
      <c r="P190" s="10"/>
      <c r="Q190" s="10"/>
      <c r="R190" s="26"/>
      <c r="S190" s="10"/>
      <c r="T190" s="10"/>
      <c r="U190" s="13"/>
      <c r="V190" s="10"/>
      <c r="W190" s="23"/>
      <c r="X190" s="10"/>
      <c r="Y190" s="10"/>
      <c r="Z190" s="10"/>
      <c r="AA190" s="10"/>
      <c r="AB190" s="10"/>
      <c r="AC190" s="10"/>
    </row>
    <row r="191" s="2" customFormat="1" spans="1:29">
      <c r="A191" s="10"/>
      <c r="B191" s="11"/>
      <c r="C191" s="10"/>
      <c r="D191" s="10"/>
      <c r="E191" s="10"/>
      <c r="F191" s="12"/>
      <c r="G191" s="13"/>
      <c r="H191" s="10"/>
      <c r="I191" s="17"/>
      <c r="J191" s="10"/>
      <c r="K191" s="10"/>
      <c r="L191" s="10"/>
      <c r="M191" s="10"/>
      <c r="N191" s="10"/>
      <c r="O191" s="10"/>
      <c r="P191" s="10"/>
      <c r="Q191" s="10"/>
      <c r="R191" s="26"/>
      <c r="S191" s="10"/>
      <c r="T191" s="10"/>
      <c r="U191" s="13"/>
      <c r="V191" s="10"/>
      <c r="W191" s="23"/>
      <c r="X191" s="10"/>
      <c r="Y191" s="10"/>
      <c r="Z191" s="10"/>
      <c r="AA191" s="10"/>
      <c r="AB191" s="10"/>
      <c r="AC191" s="10"/>
    </row>
    <row r="192" s="2" customFormat="1" spans="1:29">
      <c r="A192" s="10"/>
      <c r="B192" s="11"/>
      <c r="C192" s="10"/>
      <c r="D192" s="10"/>
      <c r="E192" s="10"/>
      <c r="F192" s="12"/>
      <c r="G192" s="13"/>
      <c r="H192" s="10"/>
      <c r="I192" s="17"/>
      <c r="J192" s="10"/>
      <c r="K192" s="10"/>
      <c r="L192" s="10"/>
      <c r="M192" s="10"/>
      <c r="N192" s="10"/>
      <c r="O192" s="10"/>
      <c r="P192" s="10"/>
      <c r="Q192" s="10"/>
      <c r="R192" s="26"/>
      <c r="S192" s="10"/>
      <c r="T192" s="10"/>
      <c r="U192" s="13"/>
      <c r="V192" s="10"/>
      <c r="W192" s="23"/>
      <c r="X192" s="10"/>
      <c r="Y192" s="10"/>
      <c r="Z192" s="10"/>
      <c r="AA192" s="10"/>
      <c r="AB192" s="10"/>
      <c r="AC192" s="10"/>
    </row>
    <row r="193" s="2" customFormat="1" spans="1:29">
      <c r="A193" s="10"/>
      <c r="B193" s="11"/>
      <c r="C193" s="10"/>
      <c r="D193" s="10"/>
      <c r="E193" s="10"/>
      <c r="F193" s="12"/>
      <c r="G193" s="13"/>
      <c r="H193" s="10"/>
      <c r="I193" s="17"/>
      <c r="J193" s="10"/>
      <c r="K193" s="10"/>
      <c r="L193" s="10"/>
      <c r="M193" s="10"/>
      <c r="N193" s="10"/>
      <c r="O193" s="10"/>
      <c r="P193" s="10"/>
      <c r="Q193" s="10"/>
      <c r="R193" s="26"/>
      <c r="S193" s="10"/>
      <c r="T193" s="10"/>
      <c r="U193" s="13"/>
      <c r="V193" s="10"/>
      <c r="W193" s="23"/>
      <c r="X193" s="10"/>
      <c r="Y193" s="10"/>
      <c r="Z193" s="10"/>
      <c r="AA193" s="10"/>
      <c r="AB193" s="10"/>
      <c r="AC193" s="10"/>
    </row>
    <row r="194" s="2" customFormat="1" spans="1:29">
      <c r="A194" s="10"/>
      <c r="B194" s="11"/>
      <c r="C194" s="10"/>
      <c r="D194" s="10"/>
      <c r="E194" s="10"/>
      <c r="F194" s="12"/>
      <c r="G194" s="13"/>
      <c r="H194" s="10"/>
      <c r="I194" s="17"/>
      <c r="J194" s="10"/>
      <c r="K194" s="10"/>
      <c r="L194" s="10"/>
      <c r="M194" s="10"/>
      <c r="N194" s="10"/>
      <c r="O194" s="10"/>
      <c r="P194" s="10"/>
      <c r="Q194" s="10"/>
      <c r="R194" s="26"/>
      <c r="S194" s="10"/>
      <c r="T194" s="10"/>
      <c r="U194" s="13"/>
      <c r="V194" s="10"/>
      <c r="W194" s="23"/>
      <c r="X194" s="10"/>
      <c r="Y194" s="10"/>
      <c r="Z194" s="10"/>
      <c r="AA194" s="10"/>
      <c r="AB194" s="10"/>
      <c r="AC194" s="10"/>
    </row>
    <row r="195" s="2" customFormat="1" spans="1:29">
      <c r="A195" s="10"/>
      <c r="B195" s="11"/>
      <c r="C195" s="10"/>
      <c r="D195" s="10"/>
      <c r="E195" s="10"/>
      <c r="F195" s="12"/>
      <c r="G195" s="13"/>
      <c r="H195" s="10"/>
      <c r="I195" s="17"/>
      <c r="J195" s="10"/>
      <c r="K195" s="10"/>
      <c r="L195" s="10"/>
      <c r="M195" s="10"/>
      <c r="N195" s="10"/>
      <c r="O195" s="10"/>
      <c r="P195" s="10"/>
      <c r="Q195" s="10"/>
      <c r="R195" s="26"/>
      <c r="S195" s="10"/>
      <c r="T195" s="10"/>
      <c r="U195" s="13"/>
      <c r="V195" s="10"/>
      <c r="W195" s="23"/>
      <c r="X195" s="10"/>
      <c r="Y195" s="10"/>
      <c r="Z195" s="10"/>
      <c r="AA195" s="10"/>
      <c r="AB195" s="10"/>
      <c r="AC195" s="10"/>
    </row>
    <row r="196" s="2" customFormat="1" spans="1:29">
      <c r="A196" s="10"/>
      <c r="B196" s="11"/>
      <c r="C196" s="10"/>
      <c r="D196" s="10"/>
      <c r="E196" s="10"/>
      <c r="F196" s="12"/>
      <c r="G196" s="13"/>
      <c r="H196" s="10"/>
      <c r="I196" s="17"/>
      <c r="J196" s="10"/>
      <c r="K196" s="10"/>
      <c r="L196" s="10"/>
      <c r="M196" s="10"/>
      <c r="N196" s="10"/>
      <c r="O196" s="10"/>
      <c r="P196" s="10"/>
      <c r="Q196" s="10"/>
      <c r="R196" s="26"/>
      <c r="S196" s="10"/>
      <c r="T196" s="10"/>
      <c r="U196" s="13"/>
      <c r="V196" s="10"/>
      <c r="W196" s="23"/>
      <c r="X196" s="10"/>
      <c r="Y196" s="10"/>
      <c r="Z196" s="10"/>
      <c r="AA196" s="10"/>
      <c r="AB196" s="10"/>
      <c r="AC196" s="10"/>
    </row>
    <row r="197" s="2" customFormat="1" spans="1:29">
      <c r="A197" s="10"/>
      <c r="B197" s="11"/>
      <c r="C197" s="10"/>
      <c r="D197" s="10"/>
      <c r="E197" s="10"/>
      <c r="F197" s="12"/>
      <c r="G197" s="13"/>
      <c r="H197" s="10"/>
      <c r="I197" s="17"/>
      <c r="J197" s="10"/>
      <c r="K197" s="10"/>
      <c r="L197" s="10"/>
      <c r="M197" s="10"/>
      <c r="N197" s="10"/>
      <c r="O197" s="10"/>
      <c r="P197" s="10"/>
      <c r="Q197" s="10"/>
      <c r="R197" s="26"/>
      <c r="S197" s="10"/>
      <c r="T197" s="10"/>
      <c r="U197" s="13"/>
      <c r="V197" s="10"/>
      <c r="W197" s="23"/>
      <c r="X197" s="10"/>
      <c r="Y197" s="10"/>
      <c r="Z197" s="10"/>
      <c r="AA197" s="10"/>
      <c r="AB197" s="10"/>
      <c r="AC197" s="10"/>
    </row>
    <row r="198" s="2" customFormat="1" spans="1:29">
      <c r="A198" s="10"/>
      <c r="B198" s="10"/>
      <c r="C198" s="28"/>
      <c r="D198" s="29"/>
      <c r="E198" s="59"/>
      <c r="F198" s="33"/>
      <c r="G198" s="29"/>
      <c r="H198" s="28"/>
      <c r="I198" s="34"/>
      <c r="J198" s="34"/>
      <c r="K198" s="34"/>
      <c r="L198" s="34"/>
      <c r="M198" s="34"/>
      <c r="N198" s="34"/>
      <c r="O198" s="34"/>
      <c r="P198" s="34"/>
      <c r="Q198" s="34"/>
      <c r="R198" s="34"/>
      <c r="S198" s="12"/>
      <c r="T198" s="10"/>
      <c r="U198" s="10"/>
      <c r="V198" s="10"/>
      <c r="W198" s="23"/>
      <c r="X198" s="10"/>
      <c r="Y198" s="10"/>
      <c r="Z198" s="10"/>
      <c r="AA198" s="10"/>
      <c r="AB198" s="10"/>
      <c r="AC198" s="10"/>
    </row>
    <row r="199" s="2" customFormat="1" spans="1:29">
      <c r="A199" s="10"/>
      <c r="B199" s="10"/>
      <c r="C199" s="28"/>
      <c r="D199" s="29"/>
      <c r="E199" s="59"/>
      <c r="F199" s="33"/>
      <c r="G199" s="29"/>
      <c r="H199" s="28"/>
      <c r="I199" s="34"/>
      <c r="J199" s="34"/>
      <c r="K199" s="34"/>
      <c r="L199" s="34"/>
      <c r="M199" s="34"/>
      <c r="N199" s="34"/>
      <c r="O199" s="34"/>
      <c r="P199" s="34"/>
      <c r="Q199" s="34"/>
      <c r="R199" s="34"/>
      <c r="S199" s="12"/>
      <c r="T199" s="10"/>
      <c r="U199" s="10"/>
      <c r="V199" s="10"/>
      <c r="W199" s="23"/>
      <c r="X199" s="10"/>
      <c r="Y199" s="10"/>
      <c r="Z199" s="10"/>
      <c r="AA199" s="10"/>
      <c r="AB199" s="10"/>
      <c r="AC199" s="10"/>
    </row>
    <row r="200" s="2" customFormat="1" spans="1:29">
      <c r="A200" s="10"/>
      <c r="B200" s="10"/>
      <c r="C200" s="28"/>
      <c r="D200" s="29"/>
      <c r="E200" s="59"/>
      <c r="F200" s="33"/>
      <c r="G200" s="29"/>
      <c r="H200" s="28"/>
      <c r="I200" s="34"/>
      <c r="J200" s="34"/>
      <c r="K200" s="34"/>
      <c r="L200" s="34"/>
      <c r="M200" s="34"/>
      <c r="N200" s="34"/>
      <c r="O200" s="34"/>
      <c r="P200" s="34"/>
      <c r="Q200" s="34"/>
      <c r="R200" s="34"/>
      <c r="S200" s="12"/>
      <c r="T200" s="10"/>
      <c r="U200" s="10"/>
      <c r="V200" s="10"/>
      <c r="W200" s="23"/>
      <c r="X200" s="10"/>
      <c r="Y200" s="10"/>
      <c r="Z200" s="10"/>
      <c r="AA200" s="10"/>
      <c r="AB200" s="10"/>
      <c r="AC200" s="10"/>
    </row>
    <row r="201" s="2" customFormat="1" spans="1:29">
      <c r="A201" s="10"/>
      <c r="B201" s="10"/>
      <c r="C201" s="28"/>
      <c r="D201" s="29"/>
      <c r="E201" s="59"/>
      <c r="F201" s="33"/>
      <c r="G201" s="29"/>
      <c r="H201" s="28"/>
      <c r="I201" s="34"/>
      <c r="J201" s="34"/>
      <c r="K201" s="34"/>
      <c r="L201" s="34"/>
      <c r="M201" s="34"/>
      <c r="N201" s="34"/>
      <c r="O201" s="34"/>
      <c r="P201" s="34"/>
      <c r="Q201" s="34"/>
      <c r="R201" s="34"/>
      <c r="S201" s="12"/>
      <c r="T201" s="10"/>
      <c r="U201" s="10"/>
      <c r="V201" s="10"/>
      <c r="W201" s="23"/>
      <c r="X201" s="10"/>
      <c r="Y201" s="10"/>
      <c r="Z201" s="10"/>
      <c r="AA201" s="10"/>
      <c r="AB201" s="10"/>
      <c r="AC201" s="10"/>
    </row>
    <row r="202" s="2" customFormat="1" spans="1:29">
      <c r="A202" s="10"/>
      <c r="B202" s="10"/>
      <c r="C202" s="28"/>
      <c r="D202" s="29"/>
      <c r="E202" s="59"/>
      <c r="F202" s="33"/>
      <c r="G202" s="29"/>
      <c r="H202" s="28"/>
      <c r="I202" s="34"/>
      <c r="J202" s="34"/>
      <c r="K202" s="34"/>
      <c r="L202" s="34"/>
      <c r="M202" s="34"/>
      <c r="N202" s="34"/>
      <c r="O202" s="34"/>
      <c r="P202" s="34"/>
      <c r="Q202" s="34"/>
      <c r="R202" s="34"/>
      <c r="S202" s="12"/>
      <c r="T202" s="10"/>
      <c r="U202" s="10"/>
      <c r="V202" s="10"/>
      <c r="W202" s="23"/>
      <c r="X202" s="10"/>
      <c r="Y202" s="10"/>
      <c r="Z202" s="10"/>
      <c r="AA202" s="10"/>
      <c r="AB202" s="10"/>
      <c r="AC202" s="10"/>
    </row>
    <row r="203" s="2" customFormat="1" spans="1:29">
      <c r="A203" s="10"/>
      <c r="B203" s="10"/>
      <c r="C203" s="28"/>
      <c r="D203" s="29"/>
      <c r="E203" s="59"/>
      <c r="F203" s="33"/>
      <c r="G203" s="29"/>
      <c r="H203" s="28"/>
      <c r="I203" s="34"/>
      <c r="J203" s="34"/>
      <c r="K203" s="34"/>
      <c r="L203" s="34"/>
      <c r="M203" s="34"/>
      <c r="N203" s="34"/>
      <c r="O203" s="34"/>
      <c r="P203" s="34"/>
      <c r="Q203" s="34"/>
      <c r="R203" s="34"/>
      <c r="S203" s="12"/>
      <c r="T203" s="10"/>
      <c r="U203" s="10"/>
      <c r="V203" s="10"/>
      <c r="W203" s="23"/>
      <c r="X203" s="10"/>
      <c r="Y203" s="10"/>
      <c r="Z203" s="10"/>
      <c r="AA203" s="10"/>
      <c r="AB203" s="10"/>
      <c r="AC203" s="10"/>
    </row>
    <row r="204" s="2" customFormat="1" spans="1:29">
      <c r="A204" s="10"/>
      <c r="B204" s="10"/>
      <c r="C204" s="28"/>
      <c r="D204" s="29"/>
      <c r="E204" s="59"/>
      <c r="F204" s="37"/>
      <c r="G204" s="29"/>
      <c r="H204" s="28"/>
      <c r="I204" s="34"/>
      <c r="J204" s="34"/>
      <c r="K204" s="34"/>
      <c r="L204" s="34"/>
      <c r="M204" s="34"/>
      <c r="N204" s="34"/>
      <c r="O204" s="34"/>
      <c r="P204" s="34"/>
      <c r="Q204" s="34"/>
      <c r="R204" s="34"/>
      <c r="S204" s="12"/>
      <c r="T204" s="10"/>
      <c r="U204" s="10"/>
      <c r="V204" s="10"/>
      <c r="W204" s="23"/>
      <c r="X204" s="10"/>
      <c r="Y204" s="10"/>
      <c r="Z204" s="10"/>
      <c r="AA204" s="10"/>
      <c r="AB204" s="10"/>
      <c r="AC204" s="10"/>
    </row>
    <row r="205" s="2" customFormat="1" spans="1:29">
      <c r="A205" s="10"/>
      <c r="B205" s="10"/>
      <c r="C205" s="28"/>
      <c r="D205" s="29"/>
      <c r="E205" s="59"/>
      <c r="F205" s="33"/>
      <c r="G205" s="29"/>
      <c r="H205" s="28"/>
      <c r="I205" s="34"/>
      <c r="J205" s="34"/>
      <c r="K205" s="34"/>
      <c r="L205" s="34"/>
      <c r="M205" s="34"/>
      <c r="N205" s="34"/>
      <c r="O205" s="34"/>
      <c r="P205" s="34"/>
      <c r="Q205" s="34"/>
      <c r="R205" s="34"/>
      <c r="S205" s="12"/>
      <c r="T205" s="10"/>
      <c r="U205" s="10"/>
      <c r="V205" s="10"/>
      <c r="W205" s="23"/>
      <c r="X205" s="10"/>
      <c r="Y205" s="10"/>
      <c r="Z205" s="10"/>
      <c r="AA205" s="10"/>
      <c r="AB205" s="10"/>
      <c r="AC205" s="10"/>
    </row>
    <row r="206" s="2" customFormat="1" spans="1:29">
      <c r="A206" s="10"/>
      <c r="B206" s="10"/>
      <c r="C206" s="28"/>
      <c r="D206" s="29"/>
      <c r="E206" s="59"/>
      <c r="F206" s="37"/>
      <c r="G206" s="29"/>
      <c r="H206" s="28"/>
      <c r="I206" s="34"/>
      <c r="J206" s="34"/>
      <c r="K206" s="34"/>
      <c r="L206" s="34"/>
      <c r="M206" s="34"/>
      <c r="N206" s="34"/>
      <c r="O206" s="34"/>
      <c r="P206" s="34"/>
      <c r="Q206" s="34"/>
      <c r="R206" s="34"/>
      <c r="S206" s="12"/>
      <c r="T206" s="10"/>
      <c r="U206" s="10"/>
      <c r="V206" s="10"/>
      <c r="W206" s="23"/>
      <c r="X206" s="10"/>
      <c r="Y206" s="10"/>
      <c r="Z206" s="10"/>
      <c r="AA206" s="10"/>
      <c r="AB206" s="10"/>
      <c r="AC206" s="10"/>
    </row>
    <row r="207" s="2" customFormat="1" spans="1:29">
      <c r="A207" s="10"/>
      <c r="B207" s="10"/>
      <c r="C207" s="28"/>
      <c r="D207" s="29"/>
      <c r="E207" s="59"/>
      <c r="F207" s="37"/>
      <c r="G207" s="29"/>
      <c r="H207" s="28"/>
      <c r="I207" s="34"/>
      <c r="J207" s="34"/>
      <c r="K207" s="34"/>
      <c r="L207" s="34"/>
      <c r="M207" s="34"/>
      <c r="N207" s="34"/>
      <c r="O207" s="34"/>
      <c r="P207" s="34"/>
      <c r="Q207" s="34"/>
      <c r="R207" s="34"/>
      <c r="S207" s="12"/>
      <c r="T207" s="10"/>
      <c r="U207" s="10"/>
      <c r="V207" s="10"/>
      <c r="W207" s="23"/>
      <c r="X207" s="10"/>
      <c r="Y207" s="10"/>
      <c r="Z207" s="10"/>
      <c r="AA207" s="10"/>
      <c r="AB207" s="10"/>
      <c r="AC207" s="10"/>
    </row>
    <row r="208" s="2" customFormat="1" spans="1:29">
      <c r="A208" s="10"/>
      <c r="B208" s="10"/>
      <c r="C208" s="28"/>
      <c r="D208" s="29"/>
      <c r="E208" s="59"/>
      <c r="F208" s="37"/>
      <c r="G208" s="29"/>
      <c r="H208" s="28"/>
      <c r="I208" s="34"/>
      <c r="J208" s="34"/>
      <c r="K208" s="34"/>
      <c r="L208" s="34"/>
      <c r="M208" s="34"/>
      <c r="N208" s="34"/>
      <c r="O208" s="34"/>
      <c r="P208" s="34"/>
      <c r="Q208" s="34"/>
      <c r="R208" s="34"/>
      <c r="S208" s="12"/>
      <c r="T208" s="10"/>
      <c r="U208" s="10"/>
      <c r="V208" s="10"/>
      <c r="W208" s="23"/>
      <c r="X208" s="10"/>
      <c r="Y208" s="10"/>
      <c r="Z208" s="10"/>
      <c r="AA208" s="10"/>
      <c r="AB208" s="10"/>
      <c r="AC208" s="10"/>
    </row>
    <row r="209" s="2" customFormat="1" spans="1:29">
      <c r="A209" s="10"/>
      <c r="B209" s="10"/>
      <c r="C209" s="28"/>
      <c r="D209" s="29"/>
      <c r="E209" s="59"/>
      <c r="F209" s="37"/>
      <c r="G209" s="29"/>
      <c r="H209" s="28"/>
      <c r="I209" s="34"/>
      <c r="J209" s="34"/>
      <c r="K209" s="34"/>
      <c r="L209" s="34"/>
      <c r="M209" s="34"/>
      <c r="N209" s="34"/>
      <c r="O209" s="34"/>
      <c r="P209" s="34"/>
      <c r="Q209" s="34"/>
      <c r="R209" s="34"/>
      <c r="S209" s="12"/>
      <c r="T209" s="10"/>
      <c r="U209" s="10"/>
      <c r="V209" s="10"/>
      <c r="W209" s="23"/>
      <c r="X209" s="10"/>
      <c r="Y209" s="10"/>
      <c r="Z209" s="10"/>
      <c r="AA209" s="10"/>
      <c r="AB209" s="10"/>
      <c r="AC209" s="10"/>
    </row>
    <row r="210" s="2" customFormat="1" spans="1:29">
      <c r="A210" s="10"/>
      <c r="B210" s="10"/>
      <c r="C210" s="28"/>
      <c r="D210" s="29"/>
      <c r="E210" s="59"/>
      <c r="F210" s="37"/>
      <c r="G210" s="29"/>
      <c r="H210" s="28"/>
      <c r="I210" s="34"/>
      <c r="J210" s="34"/>
      <c r="K210" s="34"/>
      <c r="L210" s="34"/>
      <c r="M210" s="34"/>
      <c r="N210" s="34"/>
      <c r="O210" s="34"/>
      <c r="P210" s="34"/>
      <c r="Q210" s="34"/>
      <c r="R210" s="34"/>
      <c r="S210" s="12"/>
      <c r="T210" s="10"/>
      <c r="U210" s="10"/>
      <c r="V210" s="10"/>
      <c r="W210" s="23"/>
      <c r="X210" s="10"/>
      <c r="Y210" s="10"/>
      <c r="Z210" s="10"/>
      <c r="AA210" s="10"/>
      <c r="AB210" s="10"/>
      <c r="AC210" s="10"/>
    </row>
    <row r="211" s="2" customFormat="1" spans="1:29">
      <c r="A211" s="10"/>
      <c r="B211" s="10"/>
      <c r="C211" s="28"/>
      <c r="D211" s="29"/>
      <c r="E211" s="59"/>
      <c r="F211" s="37"/>
      <c r="G211" s="29"/>
      <c r="H211" s="28"/>
      <c r="I211" s="34"/>
      <c r="J211" s="34"/>
      <c r="K211" s="34"/>
      <c r="L211" s="34"/>
      <c r="M211" s="34"/>
      <c r="N211" s="34"/>
      <c r="O211" s="34"/>
      <c r="P211" s="34"/>
      <c r="Q211" s="34"/>
      <c r="R211" s="34"/>
      <c r="S211" s="12"/>
      <c r="T211" s="10"/>
      <c r="U211" s="10"/>
      <c r="V211" s="10"/>
      <c r="W211" s="23"/>
      <c r="X211" s="10"/>
      <c r="Y211" s="10"/>
      <c r="Z211" s="10"/>
      <c r="AA211" s="10"/>
      <c r="AB211" s="10"/>
      <c r="AC211" s="10"/>
    </row>
    <row r="212" s="2" customFormat="1" spans="1:29">
      <c r="A212" s="10"/>
      <c r="B212" s="10"/>
      <c r="C212" s="28"/>
      <c r="D212" s="29"/>
      <c r="E212" s="59"/>
      <c r="F212" s="37"/>
      <c r="G212" s="29"/>
      <c r="H212" s="28"/>
      <c r="I212" s="34"/>
      <c r="J212" s="34"/>
      <c r="K212" s="34"/>
      <c r="L212" s="34"/>
      <c r="M212" s="34"/>
      <c r="N212" s="34"/>
      <c r="O212" s="34"/>
      <c r="P212" s="34"/>
      <c r="Q212" s="34"/>
      <c r="R212" s="34"/>
      <c r="S212" s="12"/>
      <c r="T212" s="10"/>
      <c r="U212" s="10"/>
      <c r="V212" s="10"/>
      <c r="W212" s="23"/>
      <c r="X212" s="10"/>
      <c r="Y212" s="10"/>
      <c r="Z212" s="10"/>
      <c r="AA212" s="10"/>
      <c r="AB212" s="10"/>
      <c r="AC212" s="10"/>
    </row>
    <row r="213" s="2" customFormat="1" spans="1:29">
      <c r="A213" s="10"/>
      <c r="B213" s="10"/>
      <c r="C213" s="28"/>
      <c r="D213" s="29"/>
      <c r="E213" s="59"/>
      <c r="F213" s="37"/>
      <c r="G213" s="29"/>
      <c r="H213" s="28"/>
      <c r="I213" s="34"/>
      <c r="J213" s="34"/>
      <c r="K213" s="34"/>
      <c r="L213" s="34"/>
      <c r="M213" s="34"/>
      <c r="N213" s="34"/>
      <c r="O213" s="34"/>
      <c r="P213" s="34"/>
      <c r="Q213" s="34"/>
      <c r="R213" s="34"/>
      <c r="S213" s="12"/>
      <c r="T213" s="10"/>
      <c r="U213" s="10"/>
      <c r="V213" s="10"/>
      <c r="W213" s="23"/>
      <c r="X213" s="10"/>
      <c r="Y213" s="10"/>
      <c r="Z213" s="10"/>
      <c r="AA213" s="10"/>
      <c r="AB213" s="10"/>
      <c r="AC213" s="10"/>
    </row>
    <row r="214" s="2" customFormat="1" spans="1:29">
      <c r="A214" s="10"/>
      <c r="B214" s="10"/>
      <c r="C214" s="28"/>
      <c r="D214" s="29"/>
      <c r="E214" s="59"/>
      <c r="F214" s="37"/>
      <c r="G214" s="29"/>
      <c r="H214" s="28"/>
      <c r="I214" s="34"/>
      <c r="J214" s="34"/>
      <c r="K214" s="34"/>
      <c r="L214" s="34"/>
      <c r="M214" s="34"/>
      <c r="N214" s="34"/>
      <c r="O214" s="34"/>
      <c r="P214" s="34"/>
      <c r="Q214" s="34"/>
      <c r="R214" s="34"/>
      <c r="S214" s="12"/>
      <c r="T214" s="10"/>
      <c r="U214" s="10"/>
      <c r="V214" s="10"/>
      <c r="W214" s="23"/>
      <c r="X214" s="10"/>
      <c r="Y214" s="10"/>
      <c r="Z214" s="10"/>
      <c r="AA214" s="10"/>
      <c r="AB214" s="10"/>
      <c r="AC214" s="10"/>
    </row>
    <row r="215" s="2" customFormat="1" spans="1:29">
      <c r="A215" s="10"/>
      <c r="B215" s="10"/>
      <c r="C215" s="28"/>
      <c r="D215" s="29"/>
      <c r="E215" s="59"/>
      <c r="F215" s="37"/>
      <c r="G215" s="29"/>
      <c r="H215" s="28"/>
      <c r="I215" s="34"/>
      <c r="J215" s="34"/>
      <c r="K215" s="34"/>
      <c r="L215" s="34"/>
      <c r="M215" s="34"/>
      <c r="N215" s="34"/>
      <c r="O215" s="34"/>
      <c r="P215" s="34"/>
      <c r="Q215" s="34"/>
      <c r="R215" s="34"/>
      <c r="S215" s="12"/>
      <c r="T215" s="10"/>
      <c r="U215" s="10"/>
      <c r="V215" s="10"/>
      <c r="W215" s="23"/>
      <c r="X215" s="10"/>
      <c r="Y215" s="10"/>
      <c r="Z215" s="10"/>
      <c r="AA215" s="10"/>
      <c r="AB215" s="10"/>
      <c r="AC215" s="10"/>
    </row>
    <row r="216" s="2" customFormat="1" spans="1:29">
      <c r="A216" s="10"/>
      <c r="B216" s="10"/>
      <c r="C216" s="28"/>
      <c r="D216" s="29"/>
      <c r="E216" s="59"/>
      <c r="F216" s="37"/>
      <c r="G216" s="29"/>
      <c r="H216" s="28"/>
      <c r="I216" s="34"/>
      <c r="J216" s="34"/>
      <c r="K216" s="34"/>
      <c r="L216" s="34"/>
      <c r="M216" s="34"/>
      <c r="N216" s="34"/>
      <c r="O216" s="34"/>
      <c r="P216" s="34"/>
      <c r="Q216" s="34"/>
      <c r="R216" s="34"/>
      <c r="S216" s="12"/>
      <c r="T216" s="10"/>
      <c r="U216" s="10"/>
      <c r="V216" s="10"/>
      <c r="W216" s="23"/>
      <c r="X216" s="10"/>
      <c r="Y216" s="10"/>
      <c r="Z216" s="10"/>
      <c r="AA216" s="10"/>
      <c r="AB216" s="10"/>
      <c r="AC216" s="10"/>
    </row>
    <row r="217" s="2" customFormat="1" spans="1:29">
      <c r="A217" s="10"/>
      <c r="B217" s="10"/>
      <c r="C217" s="28"/>
      <c r="D217" s="29"/>
      <c r="E217" s="59"/>
      <c r="F217" s="37"/>
      <c r="G217" s="29"/>
      <c r="H217" s="28"/>
      <c r="I217" s="34"/>
      <c r="J217" s="34"/>
      <c r="K217" s="34"/>
      <c r="L217" s="34"/>
      <c r="M217" s="34"/>
      <c r="N217" s="34"/>
      <c r="O217" s="34"/>
      <c r="P217" s="34"/>
      <c r="Q217" s="34"/>
      <c r="R217" s="34"/>
      <c r="S217" s="35"/>
      <c r="T217" s="10"/>
      <c r="U217" s="10"/>
      <c r="V217" s="10"/>
      <c r="W217" s="23"/>
      <c r="X217" s="10"/>
      <c r="Y217" s="10"/>
      <c r="Z217" s="10"/>
      <c r="AA217" s="10"/>
      <c r="AB217" s="10"/>
      <c r="AC217" s="10"/>
    </row>
    <row r="218" s="2" customFormat="1" spans="1:29">
      <c r="A218" s="10"/>
      <c r="B218" s="10"/>
      <c r="C218" s="28"/>
      <c r="D218" s="29"/>
      <c r="E218" s="59"/>
      <c r="F218" s="37"/>
      <c r="G218" s="29"/>
      <c r="H218" s="28"/>
      <c r="I218" s="34"/>
      <c r="J218" s="34"/>
      <c r="K218" s="34"/>
      <c r="L218" s="34"/>
      <c r="M218" s="34"/>
      <c r="N218" s="34"/>
      <c r="O218" s="34"/>
      <c r="P218" s="34"/>
      <c r="Q218" s="34"/>
      <c r="R218" s="34"/>
      <c r="S218" s="35"/>
      <c r="T218" s="10"/>
      <c r="U218" s="10"/>
      <c r="V218" s="10"/>
      <c r="W218" s="23"/>
      <c r="X218" s="10"/>
      <c r="Y218" s="10"/>
      <c r="Z218" s="10"/>
      <c r="AA218" s="10"/>
      <c r="AB218" s="10"/>
      <c r="AC218" s="10"/>
    </row>
    <row r="219" s="2" customFormat="1" spans="1:29">
      <c r="A219" s="10"/>
      <c r="B219" s="10"/>
      <c r="C219" s="28"/>
      <c r="D219" s="29"/>
      <c r="E219" s="59"/>
      <c r="F219" s="37"/>
      <c r="G219" s="29"/>
      <c r="H219" s="28"/>
      <c r="I219" s="34"/>
      <c r="J219" s="34"/>
      <c r="K219" s="34"/>
      <c r="L219" s="34"/>
      <c r="M219" s="34"/>
      <c r="N219" s="34"/>
      <c r="O219" s="34"/>
      <c r="P219" s="34"/>
      <c r="Q219" s="34"/>
      <c r="R219" s="34"/>
      <c r="S219" s="12"/>
      <c r="T219" s="10"/>
      <c r="U219" s="10"/>
      <c r="V219" s="10"/>
      <c r="W219" s="23"/>
      <c r="X219" s="10"/>
      <c r="Y219" s="10"/>
      <c r="Z219" s="10"/>
      <c r="AA219" s="10"/>
      <c r="AB219" s="10"/>
      <c r="AC219" s="10"/>
    </row>
    <row r="220" s="2" customFormat="1" spans="1:29">
      <c r="A220" s="10"/>
      <c r="B220" s="10"/>
      <c r="C220" s="28"/>
      <c r="D220" s="29"/>
      <c r="E220" s="59"/>
      <c r="F220" s="37"/>
      <c r="G220" s="29"/>
      <c r="H220" s="28"/>
      <c r="I220" s="34"/>
      <c r="J220" s="34"/>
      <c r="K220" s="34"/>
      <c r="L220" s="34"/>
      <c r="M220" s="34"/>
      <c r="N220" s="34"/>
      <c r="O220" s="34"/>
      <c r="P220" s="34"/>
      <c r="Q220" s="34"/>
      <c r="R220" s="34"/>
      <c r="S220" s="12"/>
      <c r="T220" s="10"/>
      <c r="U220" s="10"/>
      <c r="V220" s="10"/>
      <c r="W220" s="23"/>
      <c r="X220" s="10"/>
      <c r="Y220" s="10"/>
      <c r="Z220" s="10"/>
      <c r="AA220" s="10"/>
      <c r="AB220" s="10"/>
      <c r="AC220" s="10"/>
    </row>
    <row r="221" s="2" customFormat="1" spans="1:29">
      <c r="A221" s="10"/>
      <c r="B221" s="10"/>
      <c r="C221" s="28"/>
      <c r="D221" s="29"/>
      <c r="E221" s="59"/>
      <c r="F221" s="37"/>
      <c r="G221" s="28"/>
      <c r="H221" s="29"/>
      <c r="I221" s="34"/>
      <c r="J221" s="34"/>
      <c r="K221" s="34"/>
      <c r="L221" s="34"/>
      <c r="M221" s="34"/>
      <c r="N221" s="34"/>
      <c r="O221" s="34"/>
      <c r="P221" s="34"/>
      <c r="Q221" s="34"/>
      <c r="R221" s="34"/>
      <c r="S221" s="12"/>
      <c r="T221" s="10"/>
      <c r="U221" s="10"/>
      <c r="V221" s="10"/>
      <c r="W221" s="23"/>
      <c r="X221" s="10"/>
      <c r="Y221" s="10"/>
      <c r="Z221" s="10"/>
      <c r="AA221" s="10"/>
      <c r="AB221" s="10"/>
      <c r="AC221" s="10"/>
    </row>
    <row r="222" s="2" customFormat="1" spans="1:29">
      <c r="A222" s="10"/>
      <c r="B222" s="10"/>
      <c r="C222" s="28"/>
      <c r="D222" s="29"/>
      <c r="E222" s="59"/>
      <c r="F222" s="37"/>
      <c r="G222" s="28"/>
      <c r="H222" s="29"/>
      <c r="I222" s="34"/>
      <c r="J222" s="34"/>
      <c r="K222" s="34"/>
      <c r="L222" s="34"/>
      <c r="M222" s="34"/>
      <c r="N222" s="34"/>
      <c r="O222" s="34"/>
      <c r="P222" s="34"/>
      <c r="Q222" s="34"/>
      <c r="R222" s="34"/>
      <c r="S222" s="12"/>
      <c r="T222" s="10"/>
      <c r="U222" s="10"/>
      <c r="V222" s="10"/>
      <c r="W222" s="23"/>
      <c r="X222" s="10"/>
      <c r="Y222" s="10"/>
      <c r="Z222" s="10"/>
      <c r="AA222" s="10"/>
      <c r="AB222" s="10"/>
      <c r="AC222" s="10"/>
    </row>
    <row r="223" s="2" customFormat="1" spans="1:29">
      <c r="A223" s="10"/>
      <c r="B223" s="10"/>
      <c r="C223" s="28"/>
      <c r="D223" s="29"/>
      <c r="E223" s="59"/>
      <c r="F223" s="37"/>
      <c r="G223" s="28"/>
      <c r="H223" s="29"/>
      <c r="I223" s="34"/>
      <c r="J223" s="34"/>
      <c r="K223" s="34"/>
      <c r="L223" s="34"/>
      <c r="M223" s="34"/>
      <c r="N223" s="34"/>
      <c r="O223" s="34"/>
      <c r="P223" s="34"/>
      <c r="Q223" s="34"/>
      <c r="R223" s="34"/>
      <c r="S223" s="12"/>
      <c r="T223" s="10"/>
      <c r="U223" s="10"/>
      <c r="V223" s="10"/>
      <c r="W223" s="23"/>
      <c r="X223" s="10"/>
      <c r="Y223" s="10"/>
      <c r="Z223" s="10"/>
      <c r="AA223" s="10"/>
      <c r="AB223" s="10"/>
      <c r="AC223" s="10"/>
    </row>
    <row r="224" s="2" customFormat="1" spans="1:29">
      <c r="A224" s="10"/>
      <c r="B224" s="10"/>
      <c r="C224" s="28"/>
      <c r="D224" s="29"/>
      <c r="E224" s="59"/>
      <c r="F224" s="37"/>
      <c r="G224" s="28"/>
      <c r="H224" s="29"/>
      <c r="I224" s="34"/>
      <c r="J224" s="34"/>
      <c r="K224" s="34"/>
      <c r="L224" s="34"/>
      <c r="M224" s="34"/>
      <c r="N224" s="34"/>
      <c r="O224" s="34"/>
      <c r="P224" s="34"/>
      <c r="Q224" s="34"/>
      <c r="R224" s="34"/>
      <c r="S224" s="12"/>
      <c r="T224" s="10"/>
      <c r="U224" s="10"/>
      <c r="V224" s="10"/>
      <c r="W224" s="23"/>
      <c r="X224" s="10"/>
      <c r="Y224" s="10"/>
      <c r="Z224" s="10"/>
      <c r="AA224" s="10"/>
      <c r="AB224" s="10"/>
      <c r="AC224" s="10"/>
    </row>
    <row r="225" s="2" customFormat="1" spans="1:29">
      <c r="A225" s="10"/>
      <c r="B225" s="10"/>
      <c r="C225" s="28"/>
      <c r="D225" s="29"/>
      <c r="E225" s="59"/>
      <c r="F225" s="37"/>
      <c r="G225" s="28"/>
      <c r="H225" s="29"/>
      <c r="I225" s="34"/>
      <c r="J225" s="34"/>
      <c r="K225" s="34"/>
      <c r="L225" s="34"/>
      <c r="M225" s="34"/>
      <c r="N225" s="34"/>
      <c r="O225" s="34"/>
      <c r="P225" s="34"/>
      <c r="Q225" s="34"/>
      <c r="R225" s="34"/>
      <c r="S225" s="12"/>
      <c r="T225" s="10"/>
      <c r="U225" s="10"/>
      <c r="V225" s="10"/>
      <c r="W225" s="23"/>
      <c r="X225" s="10"/>
      <c r="Y225" s="10"/>
      <c r="Z225" s="10"/>
      <c r="AA225" s="10"/>
      <c r="AB225" s="10"/>
      <c r="AC225" s="10"/>
    </row>
    <row r="226" s="2" customFormat="1" spans="1:29">
      <c r="A226" s="10"/>
      <c r="B226" s="10"/>
      <c r="C226" s="28"/>
      <c r="D226" s="29"/>
      <c r="E226" s="59"/>
      <c r="F226" s="37"/>
      <c r="G226" s="28"/>
      <c r="H226" s="29"/>
      <c r="I226" s="34"/>
      <c r="J226" s="34"/>
      <c r="K226" s="34"/>
      <c r="L226" s="34"/>
      <c r="M226" s="34"/>
      <c r="N226" s="34"/>
      <c r="O226" s="34"/>
      <c r="P226" s="34"/>
      <c r="Q226" s="34"/>
      <c r="R226" s="34"/>
      <c r="S226" s="12"/>
      <c r="T226" s="10"/>
      <c r="U226" s="10"/>
      <c r="V226" s="10"/>
      <c r="W226" s="23"/>
      <c r="X226" s="10"/>
      <c r="Y226" s="10"/>
      <c r="Z226" s="10"/>
      <c r="AA226" s="10"/>
      <c r="AB226" s="10"/>
      <c r="AC226" s="10"/>
    </row>
    <row r="227" s="2" customFormat="1" spans="1:29">
      <c r="A227" s="10"/>
      <c r="B227" s="10"/>
      <c r="C227" s="28"/>
      <c r="D227" s="29"/>
      <c r="E227" s="59"/>
      <c r="F227" s="37"/>
      <c r="G227" s="29"/>
      <c r="H227" s="29"/>
      <c r="I227" s="34"/>
      <c r="J227" s="34"/>
      <c r="K227" s="34"/>
      <c r="L227" s="34"/>
      <c r="M227" s="34"/>
      <c r="N227" s="34"/>
      <c r="O227" s="34"/>
      <c r="P227" s="34"/>
      <c r="Q227" s="34"/>
      <c r="R227" s="34"/>
      <c r="S227" s="12"/>
      <c r="T227" s="10"/>
      <c r="U227" s="10"/>
      <c r="V227" s="10"/>
      <c r="W227" s="23"/>
      <c r="X227" s="10"/>
      <c r="Y227" s="10"/>
      <c r="Z227" s="10"/>
      <c r="AA227" s="10"/>
      <c r="AB227" s="10"/>
      <c r="AC227" s="10"/>
    </row>
    <row r="228" s="2" customFormat="1" spans="1:29">
      <c r="A228" s="10"/>
      <c r="B228" s="10"/>
      <c r="C228" s="28"/>
      <c r="D228" s="29"/>
      <c r="E228" s="59"/>
      <c r="F228" s="37"/>
      <c r="G228" s="28"/>
      <c r="H228" s="29"/>
      <c r="I228" s="34"/>
      <c r="J228" s="34"/>
      <c r="K228" s="34"/>
      <c r="L228" s="34"/>
      <c r="M228" s="34"/>
      <c r="N228" s="34"/>
      <c r="O228" s="34"/>
      <c r="P228" s="34"/>
      <c r="Q228" s="34"/>
      <c r="R228" s="34"/>
      <c r="S228" s="12"/>
      <c r="T228" s="10"/>
      <c r="U228" s="10"/>
      <c r="V228" s="10"/>
      <c r="W228" s="23"/>
      <c r="X228" s="10"/>
      <c r="Y228" s="10"/>
      <c r="Z228" s="10"/>
      <c r="AA228" s="10"/>
      <c r="AB228" s="10"/>
      <c r="AC228" s="10"/>
    </row>
    <row r="229" s="2" customFormat="1" spans="1:29">
      <c r="A229" s="10"/>
      <c r="B229" s="10"/>
      <c r="C229" s="28"/>
      <c r="D229" s="29"/>
      <c r="E229" s="59"/>
      <c r="F229" s="37"/>
      <c r="G229" s="28"/>
      <c r="H229" s="29"/>
      <c r="I229" s="34"/>
      <c r="J229" s="34"/>
      <c r="K229" s="34"/>
      <c r="L229" s="34"/>
      <c r="M229" s="34"/>
      <c r="N229" s="34"/>
      <c r="O229" s="34"/>
      <c r="P229" s="34"/>
      <c r="Q229" s="34"/>
      <c r="R229" s="34"/>
      <c r="S229" s="12"/>
      <c r="T229" s="10"/>
      <c r="U229" s="10"/>
      <c r="V229" s="10"/>
      <c r="W229" s="23"/>
      <c r="X229" s="10"/>
      <c r="Y229" s="10"/>
      <c r="Z229" s="10"/>
      <c r="AA229" s="10"/>
      <c r="AB229" s="10"/>
      <c r="AC229" s="10"/>
    </row>
    <row r="230" s="2" customFormat="1" spans="1:29">
      <c r="A230" s="10"/>
      <c r="B230" s="10"/>
      <c r="C230" s="28"/>
      <c r="D230" s="29"/>
      <c r="E230" s="59"/>
      <c r="F230" s="37"/>
      <c r="G230" s="28"/>
      <c r="H230" s="29"/>
      <c r="I230" s="34"/>
      <c r="J230" s="34"/>
      <c r="K230" s="34"/>
      <c r="L230" s="34"/>
      <c r="M230" s="34"/>
      <c r="N230" s="34"/>
      <c r="O230" s="34"/>
      <c r="P230" s="34"/>
      <c r="Q230" s="34"/>
      <c r="R230" s="34"/>
      <c r="S230" s="12"/>
      <c r="T230" s="10"/>
      <c r="U230" s="10"/>
      <c r="V230" s="10"/>
      <c r="W230" s="23"/>
      <c r="X230" s="10"/>
      <c r="Y230" s="10"/>
      <c r="Z230" s="10"/>
      <c r="AA230" s="10"/>
      <c r="AB230" s="10"/>
      <c r="AC230" s="10"/>
    </row>
    <row r="231" s="2" customFormat="1" spans="1:29">
      <c r="A231" s="10"/>
      <c r="B231" s="10"/>
      <c r="C231" s="28"/>
      <c r="D231" s="29"/>
      <c r="E231" s="59"/>
      <c r="F231" s="37"/>
      <c r="G231" s="28"/>
      <c r="H231" s="29"/>
      <c r="I231" s="34"/>
      <c r="J231" s="34"/>
      <c r="K231" s="34"/>
      <c r="L231" s="34"/>
      <c r="M231" s="34"/>
      <c r="N231" s="34"/>
      <c r="O231" s="34"/>
      <c r="P231" s="34"/>
      <c r="Q231" s="34"/>
      <c r="R231" s="34"/>
      <c r="S231" s="12"/>
      <c r="T231" s="10"/>
      <c r="U231" s="10"/>
      <c r="V231" s="10"/>
      <c r="W231" s="23"/>
      <c r="X231" s="10"/>
      <c r="Y231" s="10"/>
      <c r="Z231" s="10"/>
      <c r="AA231" s="10"/>
      <c r="AB231" s="10"/>
      <c r="AC231" s="10"/>
    </row>
    <row r="232" s="2" customFormat="1" spans="1:29">
      <c r="A232" s="10"/>
      <c r="B232" s="10"/>
      <c r="C232" s="28"/>
      <c r="D232" s="29"/>
      <c r="E232" s="59"/>
      <c r="F232" s="37"/>
      <c r="G232" s="28"/>
      <c r="H232" s="29"/>
      <c r="I232" s="34"/>
      <c r="J232" s="34"/>
      <c r="K232" s="34"/>
      <c r="L232" s="34"/>
      <c r="M232" s="34"/>
      <c r="N232" s="34"/>
      <c r="O232" s="34"/>
      <c r="P232" s="34"/>
      <c r="Q232" s="34"/>
      <c r="R232" s="34"/>
      <c r="S232" s="12"/>
      <c r="T232" s="10"/>
      <c r="U232" s="10"/>
      <c r="V232" s="10"/>
      <c r="W232" s="23"/>
      <c r="X232" s="10"/>
      <c r="Y232" s="10"/>
      <c r="Z232" s="10"/>
      <c r="AA232" s="10"/>
      <c r="AB232" s="10"/>
      <c r="AC232" s="10"/>
    </row>
    <row r="233" s="2" customFormat="1" spans="1:29">
      <c r="A233" s="10"/>
      <c r="B233" s="10"/>
      <c r="C233" s="28"/>
      <c r="D233" s="29"/>
      <c r="E233" s="59"/>
      <c r="F233" s="37"/>
      <c r="G233" s="28"/>
      <c r="H233" s="29"/>
      <c r="I233" s="34"/>
      <c r="J233" s="34"/>
      <c r="K233" s="34"/>
      <c r="L233" s="34"/>
      <c r="M233" s="34"/>
      <c r="N233" s="34"/>
      <c r="O233" s="34"/>
      <c r="P233" s="34"/>
      <c r="Q233" s="34"/>
      <c r="R233" s="34"/>
      <c r="S233" s="12"/>
      <c r="T233" s="10"/>
      <c r="U233" s="10"/>
      <c r="V233" s="10"/>
      <c r="W233" s="23"/>
      <c r="X233" s="10"/>
      <c r="Y233" s="10"/>
      <c r="Z233" s="10"/>
      <c r="AA233" s="10"/>
      <c r="AB233" s="10"/>
      <c r="AC233" s="10"/>
    </row>
    <row r="234" s="2" customFormat="1" spans="1:29">
      <c r="A234" s="10"/>
      <c r="B234" s="10"/>
      <c r="C234" s="28"/>
      <c r="D234" s="29"/>
      <c r="E234" s="59"/>
      <c r="F234" s="37"/>
      <c r="G234" s="28"/>
      <c r="H234" s="29"/>
      <c r="I234" s="34"/>
      <c r="J234" s="34"/>
      <c r="K234" s="34"/>
      <c r="L234" s="34"/>
      <c r="M234" s="34"/>
      <c r="N234" s="34"/>
      <c r="O234" s="34"/>
      <c r="P234" s="34"/>
      <c r="Q234" s="34"/>
      <c r="R234" s="34"/>
      <c r="S234" s="12"/>
      <c r="T234" s="10"/>
      <c r="U234" s="10"/>
      <c r="V234" s="10"/>
      <c r="W234" s="23"/>
      <c r="X234" s="10"/>
      <c r="Y234" s="10"/>
      <c r="Z234" s="10"/>
      <c r="AA234" s="10"/>
      <c r="AB234" s="10"/>
      <c r="AC234" s="10"/>
    </row>
    <row r="235" s="2" customFormat="1" spans="1:29">
      <c r="A235" s="10"/>
      <c r="B235" s="10"/>
      <c r="C235" s="28"/>
      <c r="D235" s="29"/>
      <c r="E235" s="59"/>
      <c r="F235" s="37"/>
      <c r="G235" s="28"/>
      <c r="H235" s="29"/>
      <c r="I235" s="34"/>
      <c r="J235" s="34"/>
      <c r="K235" s="34"/>
      <c r="L235" s="34"/>
      <c r="M235" s="34"/>
      <c r="N235" s="34"/>
      <c r="O235" s="34"/>
      <c r="P235" s="34"/>
      <c r="Q235" s="34"/>
      <c r="R235" s="34"/>
      <c r="S235" s="12"/>
      <c r="T235" s="10"/>
      <c r="U235" s="10"/>
      <c r="V235" s="10"/>
      <c r="W235" s="23"/>
      <c r="X235" s="10"/>
      <c r="Y235" s="10"/>
      <c r="Z235" s="10"/>
      <c r="AA235" s="10"/>
      <c r="AB235" s="10"/>
      <c r="AC235" s="10"/>
    </row>
    <row r="236" s="2" customFormat="1" spans="1:29">
      <c r="A236" s="10"/>
      <c r="B236" s="10"/>
      <c r="C236" s="28"/>
      <c r="D236" s="29"/>
      <c r="E236" s="59"/>
      <c r="F236" s="37"/>
      <c r="G236" s="28"/>
      <c r="H236" s="29"/>
      <c r="I236" s="34"/>
      <c r="J236" s="34"/>
      <c r="K236" s="34"/>
      <c r="L236" s="34"/>
      <c r="M236" s="34"/>
      <c r="N236" s="34"/>
      <c r="O236" s="34"/>
      <c r="P236" s="34"/>
      <c r="Q236" s="34"/>
      <c r="R236" s="34"/>
      <c r="S236" s="12"/>
      <c r="T236" s="10"/>
      <c r="U236" s="10"/>
      <c r="V236" s="10"/>
      <c r="W236" s="23"/>
      <c r="X236" s="10"/>
      <c r="Y236" s="10"/>
      <c r="Z236" s="10"/>
      <c r="AA236" s="10"/>
      <c r="AB236" s="10"/>
      <c r="AC236" s="10"/>
    </row>
    <row r="237" s="2" customFormat="1" spans="1:29">
      <c r="A237" s="10"/>
      <c r="B237" s="10"/>
      <c r="C237" s="28"/>
      <c r="D237" s="29"/>
      <c r="E237" s="59"/>
      <c r="F237" s="37"/>
      <c r="G237" s="28"/>
      <c r="H237" s="29"/>
      <c r="I237" s="34"/>
      <c r="J237" s="34"/>
      <c r="K237" s="34"/>
      <c r="L237" s="34"/>
      <c r="M237" s="34"/>
      <c r="N237" s="34"/>
      <c r="O237" s="34"/>
      <c r="P237" s="34"/>
      <c r="Q237" s="34"/>
      <c r="R237" s="34"/>
      <c r="S237" s="12"/>
      <c r="T237" s="10"/>
      <c r="U237" s="10"/>
      <c r="V237" s="10"/>
      <c r="W237" s="23"/>
      <c r="X237" s="10"/>
      <c r="Y237" s="10"/>
      <c r="Z237" s="10"/>
      <c r="AA237" s="10"/>
      <c r="AB237" s="10"/>
      <c r="AC237" s="10"/>
    </row>
    <row r="238" s="2" customFormat="1" spans="1:29">
      <c r="A238" s="10"/>
      <c r="B238" s="10"/>
      <c r="C238" s="28"/>
      <c r="D238" s="29"/>
      <c r="E238" s="59"/>
      <c r="F238" s="37"/>
      <c r="G238" s="28"/>
      <c r="H238" s="29"/>
      <c r="I238" s="34"/>
      <c r="J238" s="34"/>
      <c r="K238" s="34"/>
      <c r="L238" s="34"/>
      <c r="M238" s="34"/>
      <c r="N238" s="34"/>
      <c r="O238" s="34"/>
      <c r="P238" s="34"/>
      <c r="Q238" s="34"/>
      <c r="R238" s="34"/>
      <c r="S238" s="12"/>
      <c r="T238" s="10"/>
      <c r="U238" s="10"/>
      <c r="V238" s="10"/>
      <c r="W238" s="23"/>
      <c r="X238" s="10"/>
      <c r="Y238" s="10"/>
      <c r="Z238" s="10"/>
      <c r="AA238" s="10"/>
      <c r="AB238" s="10"/>
      <c r="AC238" s="10"/>
    </row>
    <row r="239" s="2" customFormat="1" spans="1:29">
      <c r="A239" s="10"/>
      <c r="B239" s="10"/>
      <c r="C239" s="28"/>
      <c r="D239" s="29"/>
      <c r="E239" s="59"/>
      <c r="F239" s="37"/>
      <c r="G239" s="28"/>
      <c r="H239" s="29"/>
      <c r="I239" s="34"/>
      <c r="J239" s="34"/>
      <c r="K239" s="34"/>
      <c r="L239" s="34"/>
      <c r="M239" s="34"/>
      <c r="N239" s="34"/>
      <c r="O239" s="34"/>
      <c r="P239" s="34"/>
      <c r="Q239" s="34"/>
      <c r="R239" s="34"/>
      <c r="S239" s="12"/>
      <c r="T239" s="10"/>
      <c r="U239" s="10"/>
      <c r="V239" s="10"/>
      <c r="W239" s="23"/>
      <c r="X239" s="10"/>
      <c r="Y239" s="10"/>
      <c r="Z239" s="10"/>
      <c r="AA239" s="10"/>
      <c r="AB239" s="10"/>
      <c r="AC239" s="10"/>
    </row>
    <row r="240" s="2" customFormat="1" spans="1:29">
      <c r="A240" s="10"/>
      <c r="B240" s="10"/>
      <c r="C240" s="28"/>
      <c r="D240" s="29"/>
      <c r="E240" s="59"/>
      <c r="F240" s="37"/>
      <c r="G240" s="28"/>
      <c r="H240" s="29"/>
      <c r="I240" s="34"/>
      <c r="J240" s="34"/>
      <c r="K240" s="34"/>
      <c r="L240" s="34"/>
      <c r="M240" s="34"/>
      <c r="N240" s="34"/>
      <c r="O240" s="34"/>
      <c r="P240" s="34"/>
      <c r="Q240" s="34"/>
      <c r="R240" s="34"/>
      <c r="S240" s="12"/>
      <c r="T240" s="10"/>
      <c r="U240" s="10"/>
      <c r="V240" s="10"/>
      <c r="W240" s="23"/>
      <c r="X240" s="10"/>
      <c r="Y240" s="10"/>
      <c r="Z240" s="10"/>
      <c r="AA240" s="10"/>
      <c r="AB240" s="10"/>
      <c r="AC240" s="10"/>
    </row>
    <row r="241" s="2" customFormat="1" spans="1:29">
      <c r="A241" s="10"/>
      <c r="B241" s="10"/>
      <c r="C241" s="28"/>
      <c r="D241" s="29"/>
      <c r="E241" s="59"/>
      <c r="F241" s="37"/>
      <c r="G241" s="28"/>
      <c r="H241" s="29"/>
      <c r="I241" s="34"/>
      <c r="J241" s="34"/>
      <c r="K241" s="34"/>
      <c r="L241" s="34"/>
      <c r="M241" s="34"/>
      <c r="N241" s="34"/>
      <c r="O241" s="34"/>
      <c r="P241" s="34"/>
      <c r="Q241" s="34"/>
      <c r="R241" s="34"/>
      <c r="S241" s="12"/>
      <c r="T241" s="10"/>
      <c r="U241" s="10"/>
      <c r="V241" s="10"/>
      <c r="W241" s="23"/>
      <c r="X241" s="10"/>
      <c r="Y241" s="10"/>
      <c r="Z241" s="10"/>
      <c r="AA241" s="10"/>
      <c r="AB241" s="10"/>
      <c r="AC241" s="10"/>
    </row>
    <row r="242" s="2" customFormat="1" spans="1:29">
      <c r="A242" s="10"/>
      <c r="B242" s="10"/>
      <c r="C242" s="28"/>
      <c r="D242" s="29"/>
      <c r="E242" s="59"/>
      <c r="F242" s="37"/>
      <c r="G242" s="28"/>
      <c r="H242" s="29"/>
      <c r="I242" s="34"/>
      <c r="J242" s="34"/>
      <c r="K242" s="34"/>
      <c r="L242" s="34"/>
      <c r="M242" s="34"/>
      <c r="N242" s="34"/>
      <c r="O242" s="34"/>
      <c r="P242" s="34"/>
      <c r="Q242" s="34"/>
      <c r="R242" s="34"/>
      <c r="S242" s="12"/>
      <c r="T242" s="10"/>
      <c r="U242" s="10"/>
      <c r="V242" s="10"/>
      <c r="W242" s="23"/>
      <c r="X242" s="10"/>
      <c r="Y242" s="10"/>
      <c r="Z242" s="10"/>
      <c r="AA242" s="10"/>
      <c r="AB242" s="10"/>
      <c r="AC242" s="10"/>
    </row>
    <row r="243" s="2" customFormat="1" spans="1:29">
      <c r="A243" s="10"/>
      <c r="B243" s="10"/>
      <c r="C243" s="28"/>
      <c r="D243" s="29"/>
      <c r="E243" s="59"/>
      <c r="F243" s="37"/>
      <c r="G243" s="28"/>
      <c r="H243" s="29"/>
      <c r="I243" s="34"/>
      <c r="J243" s="34"/>
      <c r="K243" s="34"/>
      <c r="L243" s="34"/>
      <c r="M243" s="34"/>
      <c r="N243" s="34"/>
      <c r="O243" s="34"/>
      <c r="P243" s="34"/>
      <c r="Q243" s="34"/>
      <c r="R243" s="34"/>
      <c r="S243" s="12"/>
      <c r="T243" s="10"/>
      <c r="U243" s="10"/>
      <c r="V243" s="10"/>
      <c r="W243" s="23"/>
      <c r="X243" s="10"/>
      <c r="Y243" s="10"/>
      <c r="Z243" s="10"/>
      <c r="AA243" s="10"/>
      <c r="AB243" s="10"/>
      <c r="AC243" s="10"/>
    </row>
    <row r="244" s="2" customFormat="1" spans="1:29">
      <c r="A244" s="10"/>
      <c r="B244" s="10"/>
      <c r="C244" s="28"/>
      <c r="D244" s="29"/>
      <c r="E244" s="59"/>
      <c r="F244" s="37"/>
      <c r="G244" s="28"/>
      <c r="H244" s="29"/>
      <c r="I244" s="34"/>
      <c r="J244" s="34"/>
      <c r="K244" s="34"/>
      <c r="L244" s="34"/>
      <c r="M244" s="34"/>
      <c r="N244" s="34"/>
      <c r="O244" s="34"/>
      <c r="P244" s="34"/>
      <c r="Q244" s="34"/>
      <c r="R244" s="34"/>
      <c r="S244" s="12"/>
      <c r="T244" s="10"/>
      <c r="U244" s="10"/>
      <c r="V244" s="10"/>
      <c r="W244" s="23"/>
      <c r="X244" s="10"/>
      <c r="Y244" s="10"/>
      <c r="Z244" s="10"/>
      <c r="AA244" s="10"/>
      <c r="AB244" s="10"/>
      <c r="AC244" s="10"/>
    </row>
    <row r="245" s="2" customFormat="1" spans="1:29">
      <c r="A245" s="10"/>
      <c r="B245" s="10"/>
      <c r="C245" s="28"/>
      <c r="D245" s="29"/>
      <c r="E245" s="59"/>
      <c r="F245" s="37"/>
      <c r="G245" s="28"/>
      <c r="H245" s="29"/>
      <c r="I245" s="34"/>
      <c r="J245" s="34"/>
      <c r="K245" s="34"/>
      <c r="L245" s="34"/>
      <c r="M245" s="34"/>
      <c r="N245" s="34"/>
      <c r="O245" s="34"/>
      <c r="P245" s="34"/>
      <c r="Q245" s="34"/>
      <c r="R245" s="34"/>
      <c r="S245" s="12"/>
      <c r="T245" s="10"/>
      <c r="U245" s="10"/>
      <c r="V245" s="10"/>
      <c r="W245" s="23"/>
      <c r="X245" s="10"/>
      <c r="Y245" s="10"/>
      <c r="Z245" s="10"/>
      <c r="AA245" s="10"/>
      <c r="AB245" s="10"/>
      <c r="AC245" s="10"/>
    </row>
    <row r="246" s="2" customFormat="1" spans="1:29">
      <c r="A246" s="10"/>
      <c r="B246" s="10"/>
      <c r="C246" s="28"/>
      <c r="D246" s="29"/>
      <c r="E246" s="59"/>
      <c r="F246" s="37"/>
      <c r="G246" s="28"/>
      <c r="H246" s="29"/>
      <c r="I246" s="34"/>
      <c r="J246" s="34"/>
      <c r="K246" s="34"/>
      <c r="L246" s="34"/>
      <c r="M246" s="34"/>
      <c r="N246" s="34"/>
      <c r="O246" s="34"/>
      <c r="P246" s="34"/>
      <c r="Q246" s="34"/>
      <c r="R246" s="34"/>
      <c r="S246" s="12"/>
      <c r="T246" s="10"/>
      <c r="U246" s="10"/>
      <c r="V246" s="10"/>
      <c r="W246" s="23"/>
      <c r="X246" s="10"/>
      <c r="Y246" s="10"/>
      <c r="Z246" s="10"/>
      <c r="AA246" s="10"/>
      <c r="AB246" s="10"/>
      <c r="AC246" s="10"/>
    </row>
    <row r="247" s="2" customFormat="1" spans="1:29">
      <c r="A247" s="10"/>
      <c r="B247" s="10"/>
      <c r="C247" s="28"/>
      <c r="D247" s="29"/>
      <c r="E247" s="59"/>
      <c r="F247" s="37"/>
      <c r="G247" s="28"/>
      <c r="H247" s="29"/>
      <c r="I247" s="34"/>
      <c r="J247" s="34"/>
      <c r="K247" s="34"/>
      <c r="L247" s="34"/>
      <c r="M247" s="34"/>
      <c r="N247" s="34"/>
      <c r="O247" s="34"/>
      <c r="P247" s="34"/>
      <c r="Q247" s="34"/>
      <c r="R247" s="34"/>
      <c r="S247" s="12"/>
      <c r="T247" s="10"/>
      <c r="U247" s="10"/>
      <c r="V247" s="10"/>
      <c r="W247" s="23"/>
      <c r="X247" s="10"/>
      <c r="Y247" s="10"/>
      <c r="Z247" s="10"/>
      <c r="AA247" s="10"/>
      <c r="AB247" s="10"/>
      <c r="AC247" s="10"/>
    </row>
    <row r="248" s="2" customFormat="1" spans="1:29">
      <c r="A248" s="10"/>
      <c r="B248" s="10"/>
      <c r="C248" s="28"/>
      <c r="D248" s="29"/>
      <c r="E248" s="59"/>
      <c r="F248" s="37"/>
      <c r="G248" s="28"/>
      <c r="H248" s="29"/>
      <c r="I248" s="34"/>
      <c r="J248" s="34"/>
      <c r="K248" s="34"/>
      <c r="L248" s="34"/>
      <c r="M248" s="34"/>
      <c r="N248" s="34"/>
      <c r="O248" s="34"/>
      <c r="P248" s="34"/>
      <c r="Q248" s="34"/>
      <c r="R248" s="34"/>
      <c r="S248" s="12"/>
      <c r="T248" s="10"/>
      <c r="U248" s="10"/>
      <c r="V248" s="10"/>
      <c r="W248" s="23"/>
      <c r="X248" s="10"/>
      <c r="Y248" s="10"/>
      <c r="Z248" s="10"/>
      <c r="AA248" s="10"/>
      <c r="AB248" s="10"/>
      <c r="AC248" s="10"/>
    </row>
    <row r="249" s="2" customFormat="1" spans="1:29">
      <c r="A249" s="10"/>
      <c r="B249" s="10"/>
      <c r="C249" s="28"/>
      <c r="D249" s="29"/>
      <c r="E249" s="59"/>
      <c r="F249" s="37"/>
      <c r="G249" s="28"/>
      <c r="H249" s="29"/>
      <c r="I249" s="34"/>
      <c r="J249" s="34"/>
      <c r="K249" s="34"/>
      <c r="L249" s="34"/>
      <c r="M249" s="34"/>
      <c r="N249" s="34"/>
      <c r="O249" s="34"/>
      <c r="P249" s="34"/>
      <c r="Q249" s="34"/>
      <c r="R249" s="34"/>
      <c r="S249" s="12"/>
      <c r="T249" s="10"/>
      <c r="U249" s="10"/>
      <c r="V249" s="10"/>
      <c r="W249" s="23"/>
      <c r="X249" s="10"/>
      <c r="Y249" s="10"/>
      <c r="Z249" s="10"/>
      <c r="AA249" s="10"/>
      <c r="AB249" s="10"/>
      <c r="AC249" s="10"/>
    </row>
    <row r="250" s="2" customFormat="1" spans="1:29">
      <c r="A250" s="10"/>
      <c r="B250" s="10"/>
      <c r="C250" s="28"/>
      <c r="D250" s="29"/>
      <c r="E250" s="59"/>
      <c r="F250" s="37"/>
      <c r="G250" s="28"/>
      <c r="H250" s="29"/>
      <c r="I250" s="34"/>
      <c r="J250" s="34"/>
      <c r="K250" s="34"/>
      <c r="L250" s="34"/>
      <c r="M250" s="34"/>
      <c r="N250" s="34"/>
      <c r="O250" s="34"/>
      <c r="P250" s="34"/>
      <c r="Q250" s="34"/>
      <c r="R250" s="34"/>
      <c r="S250" s="12"/>
      <c r="T250" s="10"/>
      <c r="U250" s="10"/>
      <c r="V250" s="10"/>
      <c r="W250" s="23"/>
      <c r="X250" s="10"/>
      <c r="Y250" s="10"/>
      <c r="Z250" s="10"/>
      <c r="AA250" s="10"/>
      <c r="AB250" s="10"/>
      <c r="AC250" s="10"/>
    </row>
    <row r="251" s="2" customFormat="1" spans="1:29">
      <c r="A251" s="10"/>
      <c r="B251" s="10"/>
      <c r="C251" s="28"/>
      <c r="D251" s="29"/>
      <c r="E251" s="59"/>
      <c r="F251" s="37"/>
      <c r="G251" s="28"/>
      <c r="H251" s="29"/>
      <c r="I251" s="34"/>
      <c r="J251" s="34"/>
      <c r="K251" s="34"/>
      <c r="L251" s="34"/>
      <c r="M251" s="34"/>
      <c r="N251" s="34"/>
      <c r="O251" s="34"/>
      <c r="P251" s="34"/>
      <c r="Q251" s="34"/>
      <c r="R251" s="34"/>
      <c r="S251" s="12"/>
      <c r="T251" s="10"/>
      <c r="U251" s="10"/>
      <c r="V251" s="10"/>
      <c r="W251" s="23"/>
      <c r="X251" s="10"/>
      <c r="Y251" s="10"/>
      <c r="Z251" s="10"/>
      <c r="AA251" s="10"/>
      <c r="AB251" s="10"/>
      <c r="AC251" s="10"/>
    </row>
    <row r="252" s="2" customFormat="1" spans="1:29">
      <c r="A252" s="10"/>
      <c r="B252" s="10"/>
      <c r="C252" s="28"/>
      <c r="D252" s="29"/>
      <c r="E252" s="59"/>
      <c r="F252" s="37"/>
      <c r="G252" s="28"/>
      <c r="H252" s="29"/>
      <c r="I252" s="34"/>
      <c r="J252" s="34"/>
      <c r="K252" s="34"/>
      <c r="L252" s="34"/>
      <c r="M252" s="34"/>
      <c r="N252" s="34"/>
      <c r="O252" s="34"/>
      <c r="P252" s="34"/>
      <c r="Q252" s="34"/>
      <c r="R252" s="34"/>
      <c r="S252" s="12"/>
      <c r="T252" s="10"/>
      <c r="U252" s="10"/>
      <c r="V252" s="10"/>
      <c r="W252" s="23"/>
      <c r="X252" s="10"/>
      <c r="Y252" s="10"/>
      <c r="Z252" s="10"/>
      <c r="AA252" s="10"/>
      <c r="AB252" s="10"/>
      <c r="AC252" s="10"/>
    </row>
    <row r="253" s="2" customFormat="1" spans="1:29">
      <c r="A253" s="10"/>
      <c r="B253" s="23"/>
      <c r="C253" s="28"/>
      <c r="D253" s="29"/>
      <c r="E253" s="29"/>
      <c r="F253" s="35"/>
      <c r="G253" s="23"/>
      <c r="H253" s="29"/>
      <c r="I253" s="34"/>
      <c r="J253" s="34"/>
      <c r="K253" s="34"/>
      <c r="L253" s="34"/>
      <c r="M253" s="34"/>
      <c r="N253" s="34"/>
      <c r="O253" s="34"/>
      <c r="P253" s="34"/>
      <c r="Q253" s="34"/>
      <c r="R253" s="34"/>
      <c r="S253" s="12"/>
      <c r="T253" s="10"/>
      <c r="U253" s="10"/>
      <c r="V253" s="10"/>
      <c r="W253" s="23"/>
      <c r="X253" s="10"/>
      <c r="Y253" s="10"/>
      <c r="Z253" s="10"/>
      <c r="AA253" s="10"/>
      <c r="AB253" s="10"/>
      <c r="AC253" s="10"/>
    </row>
    <row r="254" s="2" customFormat="1" spans="1:29">
      <c r="A254" s="10"/>
      <c r="B254" s="23"/>
      <c r="C254" s="28"/>
      <c r="D254" s="29"/>
      <c r="E254" s="29"/>
      <c r="F254" s="35"/>
      <c r="G254" s="23"/>
      <c r="H254" s="29"/>
      <c r="I254" s="34"/>
      <c r="J254" s="34"/>
      <c r="K254" s="34"/>
      <c r="L254" s="34"/>
      <c r="M254" s="34"/>
      <c r="N254" s="34"/>
      <c r="O254" s="34"/>
      <c r="P254" s="34"/>
      <c r="Q254" s="34"/>
      <c r="R254" s="34"/>
      <c r="S254" s="12"/>
      <c r="T254" s="10"/>
      <c r="U254" s="10"/>
      <c r="V254" s="10"/>
      <c r="W254" s="23"/>
      <c r="X254" s="10"/>
      <c r="Y254" s="10"/>
      <c r="Z254" s="10"/>
      <c r="AA254" s="10"/>
      <c r="AB254" s="10"/>
      <c r="AC254" s="10"/>
    </row>
    <row r="255" s="2" customFormat="1" spans="1:29">
      <c r="A255" s="10"/>
      <c r="B255" s="23"/>
      <c r="C255" s="28"/>
      <c r="D255" s="29"/>
      <c r="E255" s="29"/>
      <c r="F255" s="35"/>
      <c r="G255" s="23"/>
      <c r="H255" s="29"/>
      <c r="I255" s="34"/>
      <c r="J255" s="34"/>
      <c r="K255" s="34"/>
      <c r="L255" s="34"/>
      <c r="M255" s="34"/>
      <c r="N255" s="34"/>
      <c r="O255" s="34"/>
      <c r="P255" s="34"/>
      <c r="Q255" s="34"/>
      <c r="R255" s="34"/>
      <c r="S255" s="12"/>
      <c r="T255" s="10"/>
      <c r="U255" s="10"/>
      <c r="V255" s="10"/>
      <c r="W255" s="23"/>
      <c r="X255" s="10"/>
      <c r="Y255" s="10"/>
      <c r="Z255" s="10"/>
      <c r="AA255" s="10"/>
      <c r="AB255" s="10"/>
      <c r="AC255" s="10"/>
    </row>
    <row r="256" s="2" customFormat="1" spans="1:29">
      <c r="A256" s="10"/>
      <c r="B256" s="23"/>
      <c r="C256" s="28"/>
      <c r="D256" s="29"/>
      <c r="E256" s="29"/>
      <c r="F256" s="35"/>
      <c r="G256" s="23"/>
      <c r="H256" s="29"/>
      <c r="I256" s="34"/>
      <c r="J256" s="34"/>
      <c r="K256" s="34"/>
      <c r="L256" s="34"/>
      <c r="M256" s="34"/>
      <c r="N256" s="34"/>
      <c r="O256" s="34"/>
      <c r="P256" s="34"/>
      <c r="Q256" s="34"/>
      <c r="R256" s="34"/>
      <c r="S256" s="12"/>
      <c r="T256" s="10"/>
      <c r="U256" s="10"/>
      <c r="V256" s="10"/>
      <c r="W256" s="23"/>
      <c r="X256" s="10"/>
      <c r="Y256" s="10"/>
      <c r="Z256" s="10"/>
      <c r="AA256" s="10"/>
      <c r="AB256" s="10"/>
      <c r="AC256" s="10"/>
    </row>
    <row r="257" s="2" customFormat="1" spans="1:29">
      <c r="A257" s="10"/>
      <c r="B257" s="23"/>
      <c r="C257" s="28"/>
      <c r="D257" s="29"/>
      <c r="E257" s="29"/>
      <c r="F257" s="35"/>
      <c r="G257" s="23"/>
      <c r="H257" s="29"/>
      <c r="I257" s="34"/>
      <c r="J257" s="34"/>
      <c r="K257" s="34"/>
      <c r="L257" s="34"/>
      <c r="M257" s="34"/>
      <c r="N257" s="34"/>
      <c r="O257" s="34"/>
      <c r="P257" s="34"/>
      <c r="Q257" s="34"/>
      <c r="R257" s="34"/>
      <c r="S257" s="12"/>
      <c r="T257" s="10"/>
      <c r="U257" s="10"/>
      <c r="V257" s="10"/>
      <c r="W257" s="23"/>
      <c r="X257" s="10"/>
      <c r="Y257" s="10"/>
      <c r="Z257" s="10"/>
      <c r="AA257" s="10"/>
      <c r="AB257" s="10"/>
      <c r="AC257" s="10"/>
    </row>
    <row r="258" s="2" customFormat="1" spans="1:29">
      <c r="A258" s="10"/>
      <c r="B258" s="23"/>
      <c r="C258" s="28"/>
      <c r="D258" s="29"/>
      <c r="E258" s="29"/>
      <c r="F258" s="35"/>
      <c r="G258" s="23"/>
      <c r="H258" s="29"/>
      <c r="I258" s="34"/>
      <c r="J258" s="34"/>
      <c r="K258" s="34"/>
      <c r="L258" s="34"/>
      <c r="M258" s="34"/>
      <c r="N258" s="34"/>
      <c r="O258" s="34"/>
      <c r="P258" s="34"/>
      <c r="Q258" s="34"/>
      <c r="R258" s="34"/>
      <c r="S258" s="12"/>
      <c r="T258" s="10"/>
      <c r="U258" s="10"/>
      <c r="V258" s="10"/>
      <c r="W258" s="23"/>
      <c r="X258" s="10"/>
      <c r="Y258" s="10"/>
      <c r="Z258" s="10"/>
      <c r="AA258" s="10"/>
      <c r="AB258" s="10"/>
      <c r="AC258" s="10"/>
    </row>
    <row r="259" s="2" customFormat="1" spans="1:29">
      <c r="A259" s="10"/>
      <c r="B259" s="23"/>
      <c r="C259" s="28"/>
      <c r="D259" s="29"/>
      <c r="E259" s="10"/>
      <c r="F259" s="35"/>
      <c r="G259" s="23"/>
      <c r="H259" s="10"/>
      <c r="I259" s="34"/>
      <c r="J259" s="34"/>
      <c r="K259" s="34"/>
      <c r="L259" s="34"/>
      <c r="M259" s="34"/>
      <c r="N259" s="34"/>
      <c r="O259" s="34"/>
      <c r="P259" s="34"/>
      <c r="Q259" s="34"/>
      <c r="R259" s="34"/>
      <c r="S259" s="12"/>
      <c r="T259" s="10"/>
      <c r="U259" s="10"/>
      <c r="V259" s="10"/>
      <c r="W259" s="23"/>
      <c r="X259" s="10"/>
      <c r="Y259" s="10"/>
      <c r="Z259" s="10"/>
      <c r="AA259" s="10"/>
      <c r="AB259" s="10"/>
      <c r="AC259" s="10"/>
    </row>
    <row r="260" s="2" customFormat="1" spans="1:29">
      <c r="A260" s="10"/>
      <c r="B260" s="23"/>
      <c r="C260" s="28"/>
      <c r="D260" s="29"/>
      <c r="E260" s="23"/>
      <c r="F260" s="35"/>
      <c r="G260" s="23"/>
      <c r="H260" s="23"/>
      <c r="I260" s="34"/>
      <c r="J260" s="34"/>
      <c r="K260" s="34"/>
      <c r="L260" s="34"/>
      <c r="M260" s="34"/>
      <c r="N260" s="34"/>
      <c r="O260" s="34"/>
      <c r="P260" s="34"/>
      <c r="Q260" s="34"/>
      <c r="R260" s="34"/>
      <c r="S260" s="12"/>
      <c r="T260" s="10"/>
      <c r="U260" s="10"/>
      <c r="V260" s="10"/>
      <c r="W260" s="23"/>
      <c r="X260" s="10"/>
      <c r="Y260" s="10"/>
      <c r="Z260" s="10"/>
      <c r="AA260" s="10"/>
      <c r="AB260" s="10"/>
      <c r="AC260" s="10"/>
    </row>
    <row r="261" s="2" customFormat="1" spans="1:29">
      <c r="A261" s="10"/>
      <c r="B261" s="23"/>
      <c r="C261" s="28"/>
      <c r="D261" s="29"/>
      <c r="E261" s="28"/>
      <c r="F261" s="35"/>
      <c r="G261" s="23"/>
      <c r="H261" s="28"/>
      <c r="I261" s="34"/>
      <c r="J261" s="34"/>
      <c r="K261" s="34"/>
      <c r="L261" s="34"/>
      <c r="M261" s="34"/>
      <c r="N261" s="34"/>
      <c r="O261" s="34"/>
      <c r="P261" s="34"/>
      <c r="Q261" s="34"/>
      <c r="R261" s="34"/>
      <c r="S261" s="12"/>
      <c r="T261" s="10"/>
      <c r="U261" s="10"/>
      <c r="V261" s="10"/>
      <c r="W261" s="23"/>
      <c r="X261" s="10"/>
      <c r="Y261" s="10"/>
      <c r="Z261" s="10"/>
      <c r="AA261" s="10"/>
      <c r="AB261" s="10"/>
      <c r="AC261" s="10"/>
    </row>
    <row r="262" s="2" customFormat="1" spans="1:29">
      <c r="A262" s="10"/>
      <c r="B262" s="23"/>
      <c r="C262" s="28"/>
      <c r="D262" s="29"/>
      <c r="E262" s="28"/>
      <c r="F262" s="35"/>
      <c r="G262" s="23"/>
      <c r="H262" s="28"/>
      <c r="I262" s="34"/>
      <c r="J262" s="34"/>
      <c r="K262" s="34"/>
      <c r="L262" s="34"/>
      <c r="M262" s="34"/>
      <c r="N262" s="34"/>
      <c r="O262" s="34"/>
      <c r="P262" s="34"/>
      <c r="Q262" s="34"/>
      <c r="R262" s="34"/>
      <c r="S262" s="12"/>
      <c r="T262" s="10"/>
      <c r="U262" s="10"/>
      <c r="V262" s="10"/>
      <c r="W262" s="23"/>
      <c r="X262" s="10"/>
      <c r="Y262" s="10"/>
      <c r="Z262" s="10"/>
      <c r="AA262" s="10"/>
      <c r="AB262" s="10"/>
      <c r="AC262" s="10"/>
    </row>
    <row r="263" s="2" customFormat="1" spans="1:29">
      <c r="A263" s="10"/>
      <c r="B263" s="23"/>
      <c r="C263" s="28"/>
      <c r="D263" s="29"/>
      <c r="E263" s="23"/>
      <c r="F263" s="35"/>
      <c r="G263" s="23"/>
      <c r="H263" s="23"/>
      <c r="I263" s="34"/>
      <c r="J263" s="34"/>
      <c r="K263" s="34"/>
      <c r="L263" s="34"/>
      <c r="M263" s="34"/>
      <c r="N263" s="34"/>
      <c r="O263" s="34"/>
      <c r="P263" s="34"/>
      <c r="Q263" s="34"/>
      <c r="R263" s="34"/>
      <c r="S263" s="12"/>
      <c r="T263" s="10"/>
      <c r="U263" s="10"/>
      <c r="V263" s="10"/>
      <c r="W263" s="23"/>
      <c r="X263" s="10"/>
      <c r="Y263" s="10"/>
      <c r="Z263" s="10"/>
      <c r="AA263" s="10"/>
      <c r="AB263" s="10"/>
      <c r="AC263" s="10"/>
    </row>
    <row r="264" s="2" customFormat="1" spans="1:29">
      <c r="A264" s="10"/>
      <c r="B264" s="23"/>
      <c r="C264" s="28"/>
      <c r="D264" s="29"/>
      <c r="E264" s="23"/>
      <c r="F264" s="35"/>
      <c r="G264" s="23"/>
      <c r="H264" s="23"/>
      <c r="I264" s="34"/>
      <c r="J264" s="34"/>
      <c r="K264" s="34"/>
      <c r="L264" s="34"/>
      <c r="M264" s="34"/>
      <c r="N264" s="34"/>
      <c r="O264" s="34"/>
      <c r="P264" s="34"/>
      <c r="Q264" s="34"/>
      <c r="R264" s="34"/>
      <c r="S264" s="12"/>
      <c r="T264" s="10"/>
      <c r="U264" s="10"/>
      <c r="V264" s="10"/>
      <c r="W264" s="23"/>
      <c r="X264" s="10"/>
      <c r="Y264" s="10"/>
      <c r="Z264" s="10"/>
      <c r="AA264" s="10"/>
      <c r="AB264" s="10"/>
      <c r="AC264" s="10"/>
    </row>
    <row r="265" s="2" customFormat="1" spans="1:29">
      <c r="A265" s="10"/>
      <c r="B265" s="23"/>
      <c r="C265" s="28"/>
      <c r="D265" s="29"/>
      <c r="E265" s="23"/>
      <c r="F265" s="35"/>
      <c r="G265" s="23"/>
      <c r="H265" s="23"/>
      <c r="I265" s="34"/>
      <c r="J265" s="34"/>
      <c r="K265" s="34"/>
      <c r="L265" s="34"/>
      <c r="M265" s="34"/>
      <c r="N265" s="34"/>
      <c r="O265" s="34"/>
      <c r="P265" s="34"/>
      <c r="Q265" s="34"/>
      <c r="R265" s="34"/>
      <c r="S265" s="35"/>
      <c r="T265" s="10"/>
      <c r="U265" s="10"/>
      <c r="V265" s="10"/>
      <c r="W265" s="23"/>
      <c r="X265" s="10"/>
      <c r="Y265" s="10"/>
      <c r="Z265" s="10"/>
      <c r="AA265" s="10"/>
      <c r="AB265" s="10"/>
      <c r="AC265" s="10"/>
    </row>
    <row r="266" s="2" customFormat="1" spans="1:29">
      <c r="A266" s="10"/>
      <c r="B266" s="23"/>
      <c r="C266" s="28"/>
      <c r="D266" s="29"/>
      <c r="E266" s="23"/>
      <c r="F266" s="35"/>
      <c r="G266" s="23"/>
      <c r="H266" s="23"/>
      <c r="I266" s="34"/>
      <c r="J266" s="34"/>
      <c r="K266" s="34"/>
      <c r="L266" s="34"/>
      <c r="M266" s="34"/>
      <c r="N266" s="34"/>
      <c r="O266" s="34"/>
      <c r="P266" s="34"/>
      <c r="Q266" s="34"/>
      <c r="R266" s="34"/>
      <c r="S266" s="35"/>
      <c r="T266" s="10"/>
      <c r="U266" s="10"/>
      <c r="V266" s="10"/>
      <c r="W266" s="23"/>
      <c r="X266" s="10"/>
      <c r="Y266" s="10"/>
      <c r="Z266" s="10"/>
      <c r="AA266" s="10"/>
      <c r="AB266" s="10"/>
      <c r="AC266" s="10"/>
    </row>
    <row r="267" s="2" customFormat="1" spans="1:29">
      <c r="A267" s="10"/>
      <c r="B267" s="23"/>
      <c r="C267" s="28"/>
      <c r="D267" s="29"/>
      <c r="E267" s="23"/>
      <c r="F267" s="35"/>
      <c r="G267" s="23"/>
      <c r="H267" s="23"/>
      <c r="I267" s="34"/>
      <c r="J267" s="34"/>
      <c r="K267" s="34"/>
      <c r="L267" s="34"/>
      <c r="M267" s="34"/>
      <c r="N267" s="34"/>
      <c r="O267" s="34"/>
      <c r="P267" s="34"/>
      <c r="Q267" s="34"/>
      <c r="R267" s="34"/>
      <c r="S267" s="35"/>
      <c r="T267" s="10"/>
      <c r="U267" s="10"/>
      <c r="V267" s="10"/>
      <c r="W267" s="23"/>
      <c r="X267" s="10"/>
      <c r="Y267" s="10"/>
      <c r="Z267" s="10"/>
      <c r="AA267" s="10"/>
      <c r="AB267" s="10"/>
      <c r="AC267" s="10"/>
    </row>
    <row r="268" s="2" customFormat="1" spans="1:29">
      <c r="A268" s="10"/>
      <c r="B268" s="23"/>
      <c r="C268" s="28"/>
      <c r="D268" s="29"/>
      <c r="E268" s="23"/>
      <c r="F268" s="35"/>
      <c r="G268" s="23"/>
      <c r="H268" s="23"/>
      <c r="I268" s="34"/>
      <c r="J268" s="34"/>
      <c r="K268" s="34"/>
      <c r="L268" s="34"/>
      <c r="M268" s="34"/>
      <c r="N268" s="34"/>
      <c r="O268" s="34"/>
      <c r="P268" s="34"/>
      <c r="Q268" s="34"/>
      <c r="R268" s="34"/>
      <c r="S268" s="35"/>
      <c r="T268" s="10"/>
      <c r="U268" s="10"/>
      <c r="V268" s="10"/>
      <c r="W268" s="23"/>
      <c r="X268" s="10"/>
      <c r="Y268" s="10"/>
      <c r="Z268" s="10"/>
      <c r="AA268" s="10"/>
      <c r="AB268" s="10"/>
      <c r="AC268" s="10"/>
    </row>
    <row r="269" s="2" customFormat="1" spans="1:29">
      <c r="A269" s="10"/>
      <c r="B269" s="23"/>
      <c r="C269" s="28"/>
      <c r="D269" s="29"/>
      <c r="E269" s="23"/>
      <c r="F269" s="35"/>
      <c r="G269" s="23"/>
      <c r="H269" s="23"/>
      <c r="I269" s="34"/>
      <c r="J269" s="34"/>
      <c r="K269" s="34"/>
      <c r="L269" s="34"/>
      <c r="M269" s="34"/>
      <c r="N269" s="34"/>
      <c r="O269" s="34"/>
      <c r="P269" s="34"/>
      <c r="Q269" s="34"/>
      <c r="R269" s="34"/>
      <c r="S269" s="35"/>
      <c r="T269" s="10"/>
      <c r="U269" s="10"/>
      <c r="V269" s="10"/>
      <c r="W269" s="23"/>
      <c r="X269" s="10"/>
      <c r="Y269" s="10"/>
      <c r="Z269" s="10"/>
      <c r="AA269" s="10"/>
      <c r="AB269" s="10"/>
      <c r="AC269" s="10"/>
    </row>
    <row r="270" s="2" customFormat="1" spans="1:29">
      <c r="A270" s="10"/>
      <c r="B270" s="23"/>
      <c r="C270" s="28"/>
      <c r="D270" s="29"/>
      <c r="E270" s="23"/>
      <c r="F270" s="35"/>
      <c r="G270" s="23"/>
      <c r="H270" s="23"/>
      <c r="I270" s="34"/>
      <c r="J270" s="34"/>
      <c r="K270" s="34"/>
      <c r="L270" s="34"/>
      <c r="M270" s="34"/>
      <c r="N270" s="34"/>
      <c r="O270" s="34"/>
      <c r="P270" s="34"/>
      <c r="Q270" s="34"/>
      <c r="R270" s="34"/>
      <c r="S270" s="35"/>
      <c r="T270" s="10"/>
      <c r="U270" s="10"/>
      <c r="V270" s="10"/>
      <c r="W270" s="23"/>
      <c r="X270" s="10"/>
      <c r="Y270" s="10"/>
      <c r="Z270" s="10"/>
      <c r="AA270" s="10"/>
      <c r="AB270" s="10"/>
      <c r="AC270" s="10"/>
    </row>
    <row r="271" s="2" customFormat="1" spans="1:29">
      <c r="A271" s="10"/>
      <c r="B271" s="23"/>
      <c r="C271" s="28"/>
      <c r="D271" s="29"/>
      <c r="E271" s="23"/>
      <c r="F271" s="35"/>
      <c r="G271" s="23"/>
      <c r="H271" s="23"/>
      <c r="I271" s="34"/>
      <c r="J271" s="34"/>
      <c r="K271" s="34"/>
      <c r="L271" s="34"/>
      <c r="M271" s="34"/>
      <c r="N271" s="34"/>
      <c r="O271" s="34"/>
      <c r="P271" s="34"/>
      <c r="Q271" s="34"/>
      <c r="R271" s="34"/>
      <c r="S271" s="35"/>
      <c r="T271" s="10"/>
      <c r="U271" s="10"/>
      <c r="V271" s="10"/>
      <c r="W271" s="23"/>
      <c r="X271" s="10"/>
      <c r="Y271" s="10"/>
      <c r="Z271" s="10"/>
      <c r="AA271" s="10"/>
      <c r="AB271" s="10"/>
      <c r="AC271" s="10"/>
    </row>
    <row r="272" s="2" customFormat="1" spans="1:29">
      <c r="A272" s="10"/>
      <c r="B272" s="23"/>
      <c r="C272" s="28"/>
      <c r="D272" s="29"/>
      <c r="E272" s="23"/>
      <c r="F272" s="35"/>
      <c r="G272" s="23"/>
      <c r="H272" s="23"/>
      <c r="I272" s="34"/>
      <c r="J272" s="34"/>
      <c r="K272" s="34"/>
      <c r="L272" s="34"/>
      <c r="M272" s="34"/>
      <c r="N272" s="34"/>
      <c r="O272" s="34"/>
      <c r="P272" s="34"/>
      <c r="Q272" s="34"/>
      <c r="R272" s="34"/>
      <c r="S272" s="35"/>
      <c r="T272" s="10"/>
      <c r="U272" s="10"/>
      <c r="V272" s="10"/>
      <c r="W272" s="23"/>
      <c r="X272" s="10"/>
      <c r="Y272" s="10"/>
      <c r="Z272" s="10"/>
      <c r="AA272" s="10"/>
      <c r="AB272" s="10"/>
      <c r="AC272" s="10"/>
    </row>
    <row r="273" s="2" customFormat="1" spans="1:29">
      <c r="A273" s="10"/>
      <c r="B273" s="23"/>
      <c r="C273" s="28"/>
      <c r="D273" s="29"/>
      <c r="E273" s="23"/>
      <c r="F273" s="35"/>
      <c r="G273" s="23"/>
      <c r="H273" s="23"/>
      <c r="I273" s="34"/>
      <c r="J273" s="34"/>
      <c r="K273" s="34"/>
      <c r="L273" s="34"/>
      <c r="M273" s="34"/>
      <c r="N273" s="34"/>
      <c r="O273" s="34"/>
      <c r="P273" s="34"/>
      <c r="Q273" s="34"/>
      <c r="R273" s="34"/>
      <c r="S273" s="35"/>
      <c r="T273" s="10"/>
      <c r="U273" s="10"/>
      <c r="V273" s="10"/>
      <c r="W273" s="23"/>
      <c r="X273" s="10"/>
      <c r="Y273" s="10"/>
      <c r="Z273" s="10"/>
      <c r="AA273" s="10"/>
      <c r="AB273" s="10"/>
      <c r="AC273" s="10"/>
    </row>
    <row r="274" s="2" customFormat="1" spans="1:29">
      <c r="A274" s="10"/>
      <c r="B274" s="23"/>
      <c r="C274" s="28"/>
      <c r="D274" s="29"/>
      <c r="E274" s="28"/>
      <c r="F274" s="35"/>
      <c r="G274" s="23"/>
      <c r="H274" s="28"/>
      <c r="I274" s="34"/>
      <c r="J274" s="34"/>
      <c r="K274" s="34"/>
      <c r="L274" s="34"/>
      <c r="M274" s="34"/>
      <c r="N274" s="34"/>
      <c r="O274" s="34"/>
      <c r="P274" s="34"/>
      <c r="Q274" s="34"/>
      <c r="R274" s="34"/>
      <c r="S274" s="12"/>
      <c r="T274" s="10"/>
      <c r="U274" s="10"/>
      <c r="V274" s="10"/>
      <c r="W274" s="23"/>
      <c r="X274" s="10"/>
      <c r="Y274" s="10"/>
      <c r="Z274" s="10"/>
      <c r="AA274" s="10"/>
      <c r="AB274" s="10"/>
      <c r="AC274" s="10"/>
    </row>
    <row r="275" s="2" customFormat="1" spans="1:29">
      <c r="A275" s="10"/>
      <c r="B275" s="23"/>
      <c r="C275" s="28"/>
      <c r="D275" s="29"/>
      <c r="E275" s="28"/>
      <c r="F275" s="35"/>
      <c r="G275" s="23"/>
      <c r="H275" s="28"/>
      <c r="I275" s="34"/>
      <c r="J275" s="34"/>
      <c r="K275" s="34"/>
      <c r="L275" s="34"/>
      <c r="M275" s="34"/>
      <c r="N275" s="34"/>
      <c r="O275" s="34"/>
      <c r="P275" s="34"/>
      <c r="Q275" s="34"/>
      <c r="R275" s="34"/>
      <c r="S275" s="12"/>
      <c r="T275" s="10"/>
      <c r="U275" s="10"/>
      <c r="V275" s="10"/>
      <c r="W275" s="23"/>
      <c r="X275" s="10"/>
      <c r="Y275" s="10"/>
      <c r="Z275" s="10"/>
      <c r="AA275" s="10"/>
      <c r="AB275" s="10"/>
      <c r="AC275" s="10"/>
    </row>
    <row r="276" s="2" customFormat="1" spans="1:29">
      <c r="A276" s="10"/>
      <c r="B276" s="23"/>
      <c r="C276" s="28"/>
      <c r="D276" s="29"/>
      <c r="E276" s="23"/>
      <c r="F276" s="35"/>
      <c r="G276" s="23"/>
      <c r="H276" s="23"/>
      <c r="I276" s="34"/>
      <c r="J276" s="34"/>
      <c r="K276" s="34"/>
      <c r="L276" s="34"/>
      <c r="M276" s="34"/>
      <c r="N276" s="34"/>
      <c r="O276" s="34"/>
      <c r="P276" s="34"/>
      <c r="Q276" s="34"/>
      <c r="R276" s="34"/>
      <c r="S276" s="35"/>
      <c r="T276" s="10"/>
      <c r="U276" s="10"/>
      <c r="V276" s="10"/>
      <c r="W276" s="23"/>
      <c r="X276" s="10"/>
      <c r="Y276" s="10"/>
      <c r="Z276" s="10"/>
      <c r="AA276" s="10"/>
      <c r="AB276" s="10"/>
      <c r="AC276" s="10"/>
    </row>
    <row r="277" s="2" customFormat="1" spans="1:29">
      <c r="A277" s="10"/>
      <c r="B277" s="23"/>
      <c r="C277" s="28"/>
      <c r="D277" s="29"/>
      <c r="E277" s="29"/>
      <c r="F277" s="35"/>
      <c r="G277" s="23"/>
      <c r="H277" s="29"/>
      <c r="I277" s="34"/>
      <c r="J277" s="34"/>
      <c r="K277" s="34"/>
      <c r="L277" s="34"/>
      <c r="M277" s="34"/>
      <c r="N277" s="34"/>
      <c r="O277" s="34"/>
      <c r="P277" s="34"/>
      <c r="Q277" s="34"/>
      <c r="R277" s="34"/>
      <c r="S277" s="35"/>
      <c r="T277" s="10"/>
      <c r="U277" s="10"/>
      <c r="V277" s="10"/>
      <c r="W277" s="23"/>
      <c r="X277" s="10"/>
      <c r="Y277" s="10"/>
      <c r="Z277" s="10"/>
      <c r="AA277" s="10"/>
      <c r="AB277" s="10"/>
      <c r="AC277" s="10"/>
    </row>
    <row r="278" s="2" customFormat="1" spans="1:29">
      <c r="A278" s="10"/>
      <c r="B278" s="23"/>
      <c r="C278" s="28"/>
      <c r="D278" s="29"/>
      <c r="E278" s="29"/>
      <c r="F278" s="35"/>
      <c r="G278" s="23"/>
      <c r="H278" s="29"/>
      <c r="I278" s="34"/>
      <c r="J278" s="34"/>
      <c r="K278" s="34"/>
      <c r="L278" s="34"/>
      <c r="M278" s="34"/>
      <c r="N278" s="34"/>
      <c r="O278" s="34"/>
      <c r="P278" s="34"/>
      <c r="Q278" s="34"/>
      <c r="R278" s="34"/>
      <c r="S278" s="35"/>
      <c r="T278" s="10"/>
      <c r="U278" s="10"/>
      <c r="V278" s="10"/>
      <c r="W278" s="23"/>
      <c r="X278" s="10"/>
      <c r="Y278" s="10"/>
      <c r="Z278" s="10"/>
      <c r="AA278" s="10"/>
      <c r="AB278" s="10"/>
      <c r="AC278" s="10"/>
    </row>
    <row r="279" s="2" customFormat="1" spans="1:29">
      <c r="A279" s="10"/>
      <c r="B279" s="23"/>
      <c r="C279" s="28"/>
      <c r="D279" s="29"/>
      <c r="E279" s="29"/>
      <c r="F279" s="35"/>
      <c r="G279" s="23"/>
      <c r="H279" s="29"/>
      <c r="I279" s="34"/>
      <c r="J279" s="34"/>
      <c r="K279" s="34"/>
      <c r="L279" s="34"/>
      <c r="M279" s="34"/>
      <c r="N279" s="34"/>
      <c r="O279" s="34"/>
      <c r="P279" s="34"/>
      <c r="Q279" s="34"/>
      <c r="R279" s="34"/>
      <c r="S279" s="35"/>
      <c r="T279" s="10"/>
      <c r="U279" s="10"/>
      <c r="V279" s="10"/>
      <c r="W279" s="23"/>
      <c r="X279" s="10"/>
      <c r="Y279" s="10"/>
      <c r="Z279" s="10"/>
      <c r="AA279" s="10"/>
      <c r="AB279" s="10"/>
      <c r="AC279" s="10"/>
    </row>
    <row r="280" s="2" customFormat="1" spans="1:29">
      <c r="A280" s="10"/>
      <c r="B280" s="23"/>
      <c r="C280" s="28"/>
      <c r="D280" s="29"/>
      <c r="E280" s="29"/>
      <c r="F280" s="35"/>
      <c r="G280" s="23"/>
      <c r="H280" s="29"/>
      <c r="I280" s="34"/>
      <c r="J280" s="34"/>
      <c r="K280" s="34"/>
      <c r="L280" s="34"/>
      <c r="M280" s="34"/>
      <c r="N280" s="34"/>
      <c r="O280" s="34"/>
      <c r="P280" s="34"/>
      <c r="Q280" s="34"/>
      <c r="R280" s="34"/>
      <c r="S280" s="35"/>
      <c r="T280" s="10"/>
      <c r="U280" s="10"/>
      <c r="V280" s="10"/>
      <c r="W280" s="23"/>
      <c r="X280" s="10"/>
      <c r="Y280" s="10"/>
      <c r="Z280" s="10"/>
      <c r="AA280" s="10"/>
      <c r="AB280" s="10"/>
      <c r="AC280" s="10"/>
    </row>
    <row r="281" s="2" customFormat="1" spans="1:29">
      <c r="A281" s="10"/>
      <c r="B281" s="23"/>
      <c r="C281" s="28"/>
      <c r="D281" s="29"/>
      <c r="E281" s="29"/>
      <c r="F281" s="35"/>
      <c r="G281" s="23"/>
      <c r="H281" s="29"/>
      <c r="I281" s="34"/>
      <c r="J281" s="34"/>
      <c r="K281" s="34"/>
      <c r="L281" s="34"/>
      <c r="M281" s="34"/>
      <c r="N281" s="34"/>
      <c r="O281" s="34"/>
      <c r="P281" s="34"/>
      <c r="Q281" s="34"/>
      <c r="R281" s="34"/>
      <c r="S281" s="35"/>
      <c r="T281" s="10"/>
      <c r="U281" s="10"/>
      <c r="V281" s="10"/>
      <c r="W281" s="23"/>
      <c r="X281" s="10"/>
      <c r="Y281" s="10"/>
      <c r="Z281" s="10"/>
      <c r="AA281" s="10"/>
      <c r="AB281" s="10"/>
      <c r="AC281" s="10"/>
    </row>
    <row r="282" s="2" customFormat="1" spans="1:29">
      <c r="A282" s="10"/>
      <c r="B282" s="23"/>
      <c r="C282" s="28"/>
      <c r="D282" s="29"/>
      <c r="E282" s="29"/>
      <c r="F282" s="35"/>
      <c r="G282" s="23"/>
      <c r="H282" s="29"/>
      <c r="I282" s="34"/>
      <c r="J282" s="34"/>
      <c r="K282" s="34"/>
      <c r="L282" s="34"/>
      <c r="M282" s="34"/>
      <c r="N282" s="34"/>
      <c r="O282" s="34"/>
      <c r="P282" s="34"/>
      <c r="Q282" s="34"/>
      <c r="R282" s="34"/>
      <c r="S282" s="35"/>
      <c r="T282" s="10"/>
      <c r="U282" s="10"/>
      <c r="V282" s="10"/>
      <c r="W282" s="23"/>
      <c r="X282" s="10"/>
      <c r="Y282" s="10"/>
      <c r="Z282" s="10"/>
      <c r="AA282" s="10"/>
      <c r="AB282" s="10"/>
      <c r="AC282" s="10"/>
    </row>
    <row r="283" s="2" customFormat="1" spans="1:29">
      <c r="A283" s="10"/>
      <c r="B283" s="23"/>
      <c r="C283" s="28"/>
      <c r="D283" s="29"/>
      <c r="E283" s="29"/>
      <c r="F283" s="35"/>
      <c r="G283" s="23"/>
      <c r="H283" s="29"/>
      <c r="I283" s="34"/>
      <c r="J283" s="34"/>
      <c r="K283" s="34"/>
      <c r="L283" s="34"/>
      <c r="M283" s="34"/>
      <c r="N283" s="34"/>
      <c r="O283" s="34"/>
      <c r="P283" s="34"/>
      <c r="Q283" s="34"/>
      <c r="R283" s="34"/>
      <c r="S283" s="12"/>
      <c r="T283" s="10"/>
      <c r="U283" s="10"/>
      <c r="V283" s="10"/>
      <c r="W283" s="23"/>
      <c r="X283" s="10"/>
      <c r="Y283" s="10"/>
      <c r="Z283" s="10"/>
      <c r="AA283" s="10"/>
      <c r="AB283" s="10"/>
      <c r="AC283" s="10"/>
    </row>
    <row r="284" s="2" customFormat="1" spans="1:29">
      <c r="A284" s="10"/>
      <c r="B284" s="23"/>
      <c r="C284" s="28"/>
      <c r="D284" s="29"/>
      <c r="E284" s="29"/>
      <c r="F284" s="35"/>
      <c r="G284" s="23"/>
      <c r="H284" s="29"/>
      <c r="I284" s="34"/>
      <c r="J284" s="34"/>
      <c r="K284" s="34"/>
      <c r="L284" s="34"/>
      <c r="M284" s="34"/>
      <c r="N284" s="34"/>
      <c r="O284" s="34"/>
      <c r="P284" s="34"/>
      <c r="Q284" s="34"/>
      <c r="R284" s="34"/>
      <c r="S284" s="35"/>
      <c r="T284" s="10"/>
      <c r="U284" s="10"/>
      <c r="V284" s="10"/>
      <c r="W284" s="23"/>
      <c r="X284" s="10"/>
      <c r="Y284" s="10"/>
      <c r="Z284" s="10"/>
      <c r="AA284" s="10"/>
      <c r="AB284" s="10"/>
      <c r="AC284" s="10"/>
    </row>
    <row r="285" s="2" customFormat="1" spans="1:29">
      <c r="A285" s="10"/>
      <c r="B285" s="23"/>
      <c r="C285" s="28"/>
      <c r="D285" s="29"/>
      <c r="E285" s="29"/>
      <c r="F285" s="33"/>
      <c r="G285" s="23"/>
      <c r="H285" s="29"/>
      <c r="I285" s="34"/>
      <c r="J285" s="34"/>
      <c r="K285" s="34"/>
      <c r="L285" s="34"/>
      <c r="M285" s="34"/>
      <c r="N285" s="34"/>
      <c r="O285" s="34"/>
      <c r="P285" s="34"/>
      <c r="Q285" s="34"/>
      <c r="R285" s="34"/>
      <c r="S285" s="35"/>
      <c r="T285" s="10"/>
      <c r="U285" s="10"/>
      <c r="V285" s="10"/>
      <c r="W285" s="23"/>
      <c r="X285" s="10"/>
      <c r="Y285" s="10"/>
      <c r="Z285" s="10"/>
      <c r="AA285" s="10"/>
      <c r="AB285" s="10"/>
      <c r="AC285" s="10"/>
    </row>
    <row r="286" s="2" customFormat="1" spans="1:29">
      <c r="A286" s="10"/>
      <c r="B286" s="23"/>
      <c r="C286" s="28"/>
      <c r="D286" s="29"/>
      <c r="E286" s="29"/>
      <c r="F286" s="33"/>
      <c r="G286" s="23"/>
      <c r="H286" s="29"/>
      <c r="I286" s="34"/>
      <c r="J286" s="34"/>
      <c r="K286" s="34"/>
      <c r="L286" s="34"/>
      <c r="M286" s="34"/>
      <c r="N286" s="34"/>
      <c r="O286" s="34"/>
      <c r="P286" s="34"/>
      <c r="Q286" s="34"/>
      <c r="R286" s="34"/>
      <c r="S286" s="12"/>
      <c r="T286" s="10"/>
      <c r="U286" s="10"/>
      <c r="V286" s="10"/>
      <c r="W286" s="23"/>
      <c r="X286" s="10"/>
      <c r="Y286" s="10"/>
      <c r="Z286" s="10"/>
      <c r="AA286" s="10"/>
      <c r="AB286" s="10"/>
      <c r="AC286" s="10"/>
    </row>
    <row r="287" s="2" customFormat="1" spans="1:29">
      <c r="A287" s="10"/>
      <c r="B287" s="23"/>
      <c r="C287" s="28"/>
      <c r="D287" s="29"/>
      <c r="E287" s="23"/>
      <c r="F287" s="35"/>
      <c r="G287" s="23"/>
      <c r="H287" s="23"/>
      <c r="I287" s="34"/>
      <c r="J287" s="34"/>
      <c r="K287" s="34"/>
      <c r="L287" s="34"/>
      <c r="M287" s="34"/>
      <c r="N287" s="34"/>
      <c r="O287" s="34"/>
      <c r="P287" s="34"/>
      <c r="Q287" s="34"/>
      <c r="R287" s="34"/>
      <c r="S287" s="35"/>
      <c r="T287" s="10"/>
      <c r="U287" s="10"/>
      <c r="V287" s="10"/>
      <c r="W287" s="23"/>
      <c r="X287" s="10"/>
      <c r="Y287" s="10"/>
      <c r="Z287" s="10"/>
      <c r="AA287" s="10"/>
      <c r="AB287" s="10"/>
      <c r="AC287" s="10"/>
    </row>
    <row r="288" s="2" customFormat="1" spans="1:29">
      <c r="A288" s="10"/>
      <c r="B288" s="23"/>
      <c r="C288" s="28"/>
      <c r="D288" s="29"/>
      <c r="E288" s="23"/>
      <c r="F288" s="35"/>
      <c r="G288" s="23"/>
      <c r="H288" s="23"/>
      <c r="I288" s="34"/>
      <c r="J288" s="34"/>
      <c r="K288" s="34"/>
      <c r="L288" s="34"/>
      <c r="M288" s="34"/>
      <c r="N288" s="34"/>
      <c r="O288" s="34"/>
      <c r="P288" s="34"/>
      <c r="Q288" s="34"/>
      <c r="R288" s="34"/>
      <c r="S288" s="35"/>
      <c r="T288" s="10"/>
      <c r="U288" s="10"/>
      <c r="V288" s="10"/>
      <c r="W288" s="23"/>
      <c r="X288" s="10"/>
      <c r="Y288" s="10"/>
      <c r="Z288" s="10"/>
      <c r="AA288" s="10"/>
      <c r="AB288" s="10"/>
      <c r="AC288" s="10"/>
    </row>
    <row r="289" s="2" customFormat="1" spans="1:29">
      <c r="A289" s="10"/>
      <c r="B289" s="23"/>
      <c r="C289" s="28"/>
      <c r="D289" s="29"/>
      <c r="E289" s="28"/>
      <c r="F289" s="12"/>
      <c r="G289" s="23"/>
      <c r="H289" s="28"/>
      <c r="I289" s="34"/>
      <c r="J289" s="34"/>
      <c r="K289" s="34"/>
      <c r="L289" s="34"/>
      <c r="M289" s="34"/>
      <c r="N289" s="34"/>
      <c r="O289" s="34"/>
      <c r="P289" s="34"/>
      <c r="Q289" s="34"/>
      <c r="R289" s="34"/>
      <c r="S289" s="12"/>
      <c r="T289" s="10"/>
      <c r="U289" s="10"/>
      <c r="V289" s="10"/>
      <c r="W289" s="23"/>
      <c r="X289" s="10"/>
      <c r="Y289" s="10"/>
      <c r="Z289" s="10"/>
      <c r="AA289" s="10"/>
      <c r="AB289" s="10"/>
      <c r="AC289" s="10"/>
    </row>
    <row r="290" s="2" customFormat="1" spans="1:29">
      <c r="A290" s="10"/>
      <c r="B290" s="23"/>
      <c r="C290" s="28"/>
      <c r="D290" s="29"/>
      <c r="E290" s="28"/>
      <c r="F290" s="12"/>
      <c r="G290" s="23"/>
      <c r="H290" s="28"/>
      <c r="I290" s="34"/>
      <c r="J290" s="34"/>
      <c r="K290" s="34"/>
      <c r="L290" s="34"/>
      <c r="M290" s="34"/>
      <c r="N290" s="34"/>
      <c r="O290" s="34"/>
      <c r="P290" s="34"/>
      <c r="Q290" s="34"/>
      <c r="R290" s="34"/>
      <c r="S290" s="35"/>
      <c r="T290" s="10"/>
      <c r="U290" s="10"/>
      <c r="V290" s="10"/>
      <c r="W290" s="23"/>
      <c r="X290" s="10"/>
      <c r="Y290" s="10"/>
      <c r="Z290" s="10"/>
      <c r="AA290" s="10"/>
      <c r="AB290" s="10"/>
      <c r="AC290" s="10"/>
    </row>
    <row r="291" s="2" customFormat="1" spans="1:29">
      <c r="A291" s="10"/>
      <c r="B291" s="23"/>
      <c r="C291" s="28"/>
      <c r="D291" s="29"/>
      <c r="E291" s="28"/>
      <c r="F291" s="12"/>
      <c r="G291" s="23"/>
      <c r="H291" s="28"/>
      <c r="I291" s="34"/>
      <c r="J291" s="34"/>
      <c r="K291" s="34"/>
      <c r="L291" s="34"/>
      <c r="M291" s="34"/>
      <c r="N291" s="34"/>
      <c r="O291" s="34"/>
      <c r="P291" s="34"/>
      <c r="Q291" s="34"/>
      <c r="R291" s="34"/>
      <c r="S291" s="12"/>
      <c r="T291" s="10"/>
      <c r="U291" s="10"/>
      <c r="V291" s="10"/>
      <c r="W291" s="23"/>
      <c r="X291" s="10"/>
      <c r="Y291" s="10"/>
      <c r="Z291" s="10"/>
      <c r="AA291" s="10"/>
      <c r="AB291" s="10"/>
      <c r="AC291" s="10"/>
    </row>
    <row r="292" s="2" customFormat="1" spans="1:29">
      <c r="A292" s="10"/>
      <c r="B292" s="23"/>
      <c r="C292" s="28"/>
      <c r="D292" s="29"/>
      <c r="E292" s="23"/>
      <c r="F292" s="35"/>
      <c r="G292" s="23"/>
      <c r="H292" s="29"/>
      <c r="I292" s="34"/>
      <c r="J292" s="34"/>
      <c r="K292" s="34"/>
      <c r="L292" s="34"/>
      <c r="M292" s="34"/>
      <c r="N292" s="34"/>
      <c r="O292" s="34"/>
      <c r="P292" s="34"/>
      <c r="Q292" s="34"/>
      <c r="R292" s="34"/>
      <c r="S292" s="12"/>
      <c r="T292" s="10"/>
      <c r="U292" s="10"/>
      <c r="V292" s="10"/>
      <c r="W292" s="23"/>
      <c r="X292" s="10"/>
      <c r="Y292" s="10"/>
      <c r="Z292" s="10"/>
      <c r="AA292" s="10"/>
      <c r="AB292" s="10"/>
      <c r="AC292" s="10"/>
    </row>
    <row r="293" s="2" customFormat="1" spans="1:29">
      <c r="A293" s="10"/>
      <c r="B293" s="23"/>
      <c r="C293" s="28"/>
      <c r="D293" s="29"/>
      <c r="E293" s="23"/>
      <c r="F293" s="35"/>
      <c r="G293" s="23"/>
      <c r="H293" s="29"/>
      <c r="I293" s="34"/>
      <c r="J293" s="34"/>
      <c r="K293" s="34"/>
      <c r="L293" s="34"/>
      <c r="M293" s="34"/>
      <c r="N293" s="34"/>
      <c r="O293" s="34"/>
      <c r="P293" s="34"/>
      <c r="Q293" s="34"/>
      <c r="R293" s="34"/>
      <c r="S293" s="12"/>
      <c r="T293" s="10"/>
      <c r="U293" s="10"/>
      <c r="V293" s="10"/>
      <c r="W293" s="23"/>
      <c r="X293" s="10"/>
      <c r="Y293" s="10"/>
      <c r="Z293" s="10"/>
      <c r="AA293" s="10"/>
      <c r="AB293" s="10"/>
      <c r="AC293" s="10"/>
    </row>
    <row r="294" s="2" customFormat="1" spans="1:29">
      <c r="A294" s="10"/>
      <c r="B294" s="23"/>
      <c r="C294" s="28"/>
      <c r="D294" s="29"/>
      <c r="E294" s="23"/>
      <c r="F294" s="35"/>
      <c r="G294" s="23"/>
      <c r="H294" s="29"/>
      <c r="I294" s="34"/>
      <c r="J294" s="34"/>
      <c r="K294" s="34"/>
      <c r="L294" s="34"/>
      <c r="M294" s="34"/>
      <c r="N294" s="34"/>
      <c r="O294" s="34"/>
      <c r="P294" s="34"/>
      <c r="Q294" s="34"/>
      <c r="R294" s="34"/>
      <c r="S294" s="12"/>
      <c r="T294" s="10"/>
      <c r="U294" s="10"/>
      <c r="V294" s="10"/>
      <c r="W294" s="23"/>
      <c r="X294" s="10"/>
      <c r="Y294" s="10"/>
      <c r="Z294" s="10"/>
      <c r="AA294" s="10"/>
      <c r="AB294" s="10"/>
      <c r="AC294" s="10"/>
    </row>
    <row r="295" s="2" customFormat="1" spans="1:29">
      <c r="A295" s="10"/>
      <c r="B295" s="23"/>
      <c r="C295" s="28"/>
      <c r="D295" s="29"/>
      <c r="E295" s="23"/>
      <c r="F295" s="35"/>
      <c r="G295" s="23"/>
      <c r="H295" s="29"/>
      <c r="I295" s="34"/>
      <c r="J295" s="34"/>
      <c r="K295" s="34"/>
      <c r="L295" s="34"/>
      <c r="M295" s="34"/>
      <c r="N295" s="34"/>
      <c r="O295" s="34"/>
      <c r="P295" s="34"/>
      <c r="Q295" s="34"/>
      <c r="R295" s="34"/>
      <c r="S295" s="12"/>
      <c r="T295" s="10"/>
      <c r="U295" s="10"/>
      <c r="V295" s="10"/>
      <c r="W295" s="23"/>
      <c r="X295" s="10"/>
      <c r="Y295" s="10"/>
      <c r="Z295" s="10"/>
      <c r="AA295" s="10"/>
      <c r="AB295" s="10"/>
      <c r="AC295" s="10"/>
    </row>
    <row r="296" s="2" customFormat="1" spans="1:29">
      <c r="A296" s="10"/>
      <c r="B296" s="23"/>
      <c r="C296" s="28"/>
      <c r="D296" s="29"/>
      <c r="E296" s="23"/>
      <c r="F296" s="35"/>
      <c r="G296" s="23"/>
      <c r="H296" s="29"/>
      <c r="I296" s="34"/>
      <c r="J296" s="34"/>
      <c r="K296" s="34"/>
      <c r="L296" s="34"/>
      <c r="M296" s="34"/>
      <c r="N296" s="34"/>
      <c r="O296" s="34"/>
      <c r="P296" s="34"/>
      <c r="Q296" s="34"/>
      <c r="R296" s="34"/>
      <c r="S296" s="12"/>
      <c r="T296" s="10"/>
      <c r="U296" s="10"/>
      <c r="V296" s="10"/>
      <c r="W296" s="23"/>
      <c r="X296" s="10"/>
      <c r="Y296" s="10"/>
      <c r="Z296" s="10"/>
      <c r="AA296" s="10"/>
      <c r="AB296" s="10"/>
      <c r="AC296" s="10"/>
    </row>
    <row r="297" s="2" customFormat="1" spans="1:29">
      <c r="A297" s="10"/>
      <c r="B297" s="23"/>
      <c r="C297" s="28"/>
      <c r="D297" s="29"/>
      <c r="E297" s="23"/>
      <c r="F297" s="35"/>
      <c r="G297" s="23"/>
      <c r="H297" s="29"/>
      <c r="I297" s="34"/>
      <c r="J297" s="34"/>
      <c r="K297" s="34"/>
      <c r="L297" s="34"/>
      <c r="M297" s="34"/>
      <c r="N297" s="34"/>
      <c r="O297" s="34"/>
      <c r="P297" s="34"/>
      <c r="Q297" s="34"/>
      <c r="R297" s="34"/>
      <c r="S297" s="12"/>
      <c r="T297" s="10"/>
      <c r="U297" s="10"/>
      <c r="V297" s="10"/>
      <c r="W297" s="23"/>
      <c r="X297" s="10"/>
      <c r="Y297" s="10"/>
      <c r="Z297" s="10"/>
      <c r="AA297" s="10"/>
      <c r="AB297" s="10"/>
      <c r="AC297" s="10"/>
    </row>
    <row r="298" s="2" customFormat="1" spans="1:29">
      <c r="A298" s="10"/>
      <c r="B298" s="23"/>
      <c r="C298" s="28"/>
      <c r="D298" s="29"/>
      <c r="E298" s="23"/>
      <c r="F298" s="35"/>
      <c r="G298" s="23"/>
      <c r="H298" s="29"/>
      <c r="I298" s="34"/>
      <c r="J298" s="34"/>
      <c r="K298" s="34"/>
      <c r="L298" s="34"/>
      <c r="M298" s="34"/>
      <c r="N298" s="34"/>
      <c r="O298" s="34"/>
      <c r="P298" s="34"/>
      <c r="Q298" s="34"/>
      <c r="R298" s="34"/>
      <c r="S298" s="12"/>
      <c r="T298" s="10"/>
      <c r="U298" s="10"/>
      <c r="V298" s="10"/>
      <c r="W298" s="23"/>
      <c r="X298" s="10"/>
      <c r="Y298" s="10"/>
      <c r="Z298" s="10"/>
      <c r="AA298" s="10"/>
      <c r="AB298" s="10"/>
      <c r="AC298" s="10"/>
    </row>
    <row r="299" s="2" customFormat="1" spans="1:29">
      <c r="A299" s="10"/>
      <c r="B299" s="23"/>
      <c r="C299" s="28"/>
      <c r="D299" s="29"/>
      <c r="E299" s="10"/>
      <c r="F299" s="35"/>
      <c r="G299" s="23"/>
      <c r="H299" s="29"/>
      <c r="I299" s="34"/>
      <c r="J299" s="34"/>
      <c r="K299" s="34"/>
      <c r="L299" s="34"/>
      <c r="M299" s="34"/>
      <c r="N299" s="34"/>
      <c r="O299" s="34"/>
      <c r="P299" s="34"/>
      <c r="Q299" s="34"/>
      <c r="R299" s="34"/>
      <c r="S299" s="12"/>
      <c r="T299" s="10"/>
      <c r="U299" s="10"/>
      <c r="V299" s="10"/>
      <c r="W299" s="23"/>
      <c r="X299" s="10"/>
      <c r="Y299" s="10"/>
      <c r="Z299" s="10"/>
      <c r="AA299" s="10"/>
      <c r="AB299" s="10"/>
      <c r="AC299" s="10"/>
    </row>
    <row r="300" s="2" customFormat="1" spans="1:29">
      <c r="A300" s="10"/>
      <c r="B300" s="23"/>
      <c r="C300" s="28"/>
      <c r="D300" s="29"/>
      <c r="E300" s="10"/>
      <c r="F300" s="35"/>
      <c r="G300" s="23"/>
      <c r="H300" s="29"/>
      <c r="I300" s="34"/>
      <c r="J300" s="34"/>
      <c r="K300" s="34"/>
      <c r="L300" s="34"/>
      <c r="M300" s="34"/>
      <c r="N300" s="34"/>
      <c r="O300" s="34"/>
      <c r="P300" s="34"/>
      <c r="Q300" s="34"/>
      <c r="R300" s="34"/>
      <c r="S300" s="12"/>
      <c r="T300" s="10"/>
      <c r="U300" s="10"/>
      <c r="V300" s="10"/>
      <c r="W300" s="23"/>
      <c r="X300" s="10"/>
      <c r="Y300" s="10"/>
      <c r="Z300" s="10"/>
      <c r="AA300" s="10"/>
      <c r="AB300" s="10"/>
      <c r="AC300" s="10"/>
    </row>
    <row r="301" s="2" customFormat="1" spans="1:29">
      <c r="A301" s="10"/>
      <c r="B301" s="23"/>
      <c r="C301" s="28"/>
      <c r="D301" s="29"/>
      <c r="E301" s="10"/>
      <c r="F301" s="35"/>
      <c r="G301" s="23"/>
      <c r="H301" s="10"/>
      <c r="I301" s="34"/>
      <c r="J301" s="34"/>
      <c r="K301" s="34"/>
      <c r="L301" s="34"/>
      <c r="M301" s="34"/>
      <c r="N301" s="34"/>
      <c r="O301" s="34"/>
      <c r="P301" s="34"/>
      <c r="Q301" s="34"/>
      <c r="R301" s="34"/>
      <c r="S301" s="12"/>
      <c r="T301" s="10"/>
      <c r="U301" s="10"/>
      <c r="V301" s="10"/>
      <c r="W301" s="23"/>
      <c r="X301" s="10"/>
      <c r="Y301" s="10"/>
      <c r="Z301" s="10"/>
      <c r="AA301" s="10"/>
      <c r="AB301" s="10"/>
      <c r="AC301" s="10"/>
    </row>
    <row r="302" s="2" customFormat="1" spans="1:29">
      <c r="A302" s="10"/>
      <c r="B302" s="23"/>
      <c r="C302" s="28"/>
      <c r="D302" s="29"/>
      <c r="E302" s="28"/>
      <c r="F302" s="12"/>
      <c r="G302" s="23"/>
      <c r="H302" s="28"/>
      <c r="I302" s="34"/>
      <c r="J302" s="34"/>
      <c r="K302" s="34"/>
      <c r="L302" s="34"/>
      <c r="M302" s="34"/>
      <c r="N302" s="34"/>
      <c r="O302" s="34"/>
      <c r="P302" s="34"/>
      <c r="Q302" s="34"/>
      <c r="R302" s="34"/>
      <c r="S302" s="12"/>
      <c r="T302" s="10"/>
      <c r="U302" s="10"/>
      <c r="V302" s="10"/>
      <c r="W302" s="23"/>
      <c r="X302" s="10"/>
      <c r="Y302" s="10"/>
      <c r="Z302" s="10"/>
      <c r="AA302" s="10"/>
      <c r="AB302" s="10"/>
      <c r="AC302" s="10"/>
    </row>
    <row r="303" s="2" customFormat="1" spans="1:29">
      <c r="A303" s="10"/>
      <c r="B303" s="23"/>
      <c r="C303" s="28"/>
      <c r="D303" s="29"/>
      <c r="E303" s="28"/>
      <c r="F303" s="12"/>
      <c r="G303" s="23"/>
      <c r="H303" s="28"/>
      <c r="I303" s="34"/>
      <c r="J303" s="34"/>
      <c r="K303" s="34"/>
      <c r="L303" s="34"/>
      <c r="M303" s="34"/>
      <c r="N303" s="34"/>
      <c r="O303" s="34"/>
      <c r="P303" s="34"/>
      <c r="Q303" s="34"/>
      <c r="R303" s="34"/>
      <c r="S303" s="12"/>
      <c r="T303" s="10"/>
      <c r="U303" s="10"/>
      <c r="V303" s="10"/>
      <c r="W303" s="23"/>
      <c r="X303" s="10"/>
      <c r="Y303" s="10"/>
      <c r="Z303" s="10"/>
      <c r="AA303" s="10"/>
      <c r="AB303" s="10"/>
      <c r="AC303" s="10"/>
    </row>
    <row r="304" s="2" customFormat="1" spans="1:29">
      <c r="A304" s="10"/>
      <c r="B304" s="23"/>
      <c r="C304" s="28"/>
      <c r="D304" s="29"/>
      <c r="E304" s="28"/>
      <c r="F304" s="12"/>
      <c r="G304" s="23"/>
      <c r="H304" s="28"/>
      <c r="I304" s="34"/>
      <c r="J304" s="34"/>
      <c r="K304" s="34"/>
      <c r="L304" s="34"/>
      <c r="M304" s="34"/>
      <c r="N304" s="34"/>
      <c r="O304" s="34"/>
      <c r="P304" s="34"/>
      <c r="Q304" s="34"/>
      <c r="R304" s="34"/>
      <c r="S304" s="12"/>
      <c r="T304" s="10"/>
      <c r="U304" s="10"/>
      <c r="V304" s="10"/>
      <c r="W304" s="23"/>
      <c r="X304" s="10"/>
      <c r="Y304" s="10"/>
      <c r="Z304" s="10"/>
      <c r="AA304" s="10"/>
      <c r="AB304" s="10"/>
      <c r="AC304" s="10"/>
    </row>
    <row r="305" s="2" customFormat="1" spans="1:29">
      <c r="A305" s="10"/>
      <c r="B305" s="23"/>
      <c r="C305" s="28"/>
      <c r="D305" s="29"/>
      <c r="E305" s="28"/>
      <c r="F305" s="12"/>
      <c r="G305" s="23"/>
      <c r="H305" s="28"/>
      <c r="I305" s="34"/>
      <c r="J305" s="34"/>
      <c r="K305" s="34"/>
      <c r="L305" s="34"/>
      <c r="M305" s="34"/>
      <c r="N305" s="34"/>
      <c r="O305" s="34"/>
      <c r="P305" s="34"/>
      <c r="Q305" s="34"/>
      <c r="R305" s="34"/>
      <c r="S305" s="12"/>
      <c r="T305" s="10"/>
      <c r="U305" s="10"/>
      <c r="V305" s="10"/>
      <c r="W305" s="23"/>
      <c r="X305" s="10"/>
      <c r="Y305" s="10"/>
      <c r="Z305" s="10"/>
      <c r="AA305" s="10"/>
      <c r="AB305" s="10"/>
      <c r="AC305" s="10"/>
    </row>
    <row r="306" s="2" customFormat="1" spans="1:29">
      <c r="A306" s="10"/>
      <c r="B306" s="23"/>
      <c r="C306" s="28"/>
      <c r="D306" s="29"/>
      <c r="E306" s="28"/>
      <c r="F306" s="12"/>
      <c r="G306" s="23"/>
      <c r="H306" s="28"/>
      <c r="I306" s="34"/>
      <c r="J306" s="34"/>
      <c r="K306" s="34"/>
      <c r="L306" s="34"/>
      <c r="M306" s="34"/>
      <c r="N306" s="34"/>
      <c r="O306" s="34"/>
      <c r="P306" s="34"/>
      <c r="Q306" s="34"/>
      <c r="R306" s="34"/>
      <c r="S306" s="12"/>
      <c r="T306" s="10"/>
      <c r="U306" s="10"/>
      <c r="V306" s="10"/>
      <c r="W306" s="23"/>
      <c r="X306" s="10"/>
      <c r="Y306" s="10"/>
      <c r="Z306" s="10"/>
      <c r="AA306" s="10"/>
      <c r="AB306" s="10"/>
      <c r="AC306" s="10"/>
    </row>
    <row r="307" s="2" customFormat="1" spans="1:29">
      <c r="A307" s="10"/>
      <c r="B307" s="23"/>
      <c r="C307" s="28"/>
      <c r="D307" s="29"/>
      <c r="E307" s="28"/>
      <c r="F307" s="12"/>
      <c r="G307" s="23"/>
      <c r="H307" s="28"/>
      <c r="I307" s="34"/>
      <c r="J307" s="34"/>
      <c r="K307" s="34"/>
      <c r="L307" s="34"/>
      <c r="M307" s="34"/>
      <c r="N307" s="34"/>
      <c r="O307" s="34"/>
      <c r="P307" s="34"/>
      <c r="Q307" s="34"/>
      <c r="R307" s="34"/>
      <c r="S307" s="12"/>
      <c r="T307" s="10"/>
      <c r="U307" s="10"/>
      <c r="V307" s="10"/>
      <c r="W307" s="23"/>
      <c r="X307" s="10"/>
      <c r="Y307" s="10"/>
      <c r="Z307" s="10"/>
      <c r="AA307" s="10"/>
      <c r="AB307" s="10"/>
      <c r="AC307" s="10"/>
    </row>
    <row r="308" s="2" customFormat="1" spans="1:29">
      <c r="A308" s="10"/>
      <c r="B308" s="23"/>
      <c r="C308" s="28"/>
      <c r="D308" s="29"/>
      <c r="E308" s="28"/>
      <c r="F308" s="12"/>
      <c r="G308" s="23"/>
      <c r="H308" s="28"/>
      <c r="I308" s="34"/>
      <c r="J308" s="34"/>
      <c r="K308" s="34"/>
      <c r="L308" s="34"/>
      <c r="M308" s="34"/>
      <c r="N308" s="34"/>
      <c r="O308" s="34"/>
      <c r="P308" s="34"/>
      <c r="Q308" s="34"/>
      <c r="R308" s="34"/>
      <c r="S308" s="12"/>
      <c r="T308" s="10"/>
      <c r="U308" s="10"/>
      <c r="V308" s="10"/>
      <c r="W308" s="23"/>
      <c r="X308" s="10"/>
      <c r="Y308" s="10"/>
      <c r="Z308" s="10"/>
      <c r="AA308" s="10"/>
      <c r="AB308" s="10"/>
      <c r="AC308" s="10"/>
    </row>
    <row r="309" s="2" customFormat="1" spans="1:29">
      <c r="A309" s="10"/>
      <c r="B309" s="23"/>
      <c r="C309" s="28"/>
      <c r="D309" s="29"/>
      <c r="E309" s="28"/>
      <c r="F309" s="12"/>
      <c r="G309" s="23"/>
      <c r="H309" s="28"/>
      <c r="I309" s="34"/>
      <c r="J309" s="34"/>
      <c r="K309" s="34"/>
      <c r="L309" s="34"/>
      <c r="M309" s="34"/>
      <c r="N309" s="34"/>
      <c r="O309" s="34"/>
      <c r="P309" s="34"/>
      <c r="Q309" s="34"/>
      <c r="R309" s="34"/>
      <c r="S309" s="12"/>
      <c r="T309" s="10"/>
      <c r="U309" s="10"/>
      <c r="V309" s="10"/>
      <c r="W309" s="23"/>
      <c r="X309" s="10"/>
      <c r="Y309" s="10"/>
      <c r="Z309" s="10"/>
      <c r="AA309" s="10"/>
      <c r="AB309" s="10"/>
      <c r="AC309" s="10"/>
    </row>
    <row r="310" s="2" customFormat="1" spans="1:29">
      <c r="A310" s="10"/>
      <c r="B310" s="23"/>
      <c r="C310" s="28"/>
      <c r="D310" s="29"/>
      <c r="E310" s="28"/>
      <c r="F310" s="12"/>
      <c r="G310" s="23"/>
      <c r="H310" s="28"/>
      <c r="I310" s="34"/>
      <c r="J310" s="34"/>
      <c r="K310" s="34"/>
      <c r="L310" s="34"/>
      <c r="M310" s="34"/>
      <c r="N310" s="34"/>
      <c r="O310" s="34"/>
      <c r="P310" s="34"/>
      <c r="Q310" s="34"/>
      <c r="R310" s="34"/>
      <c r="S310" s="12"/>
      <c r="T310" s="10"/>
      <c r="U310" s="10"/>
      <c r="V310" s="10"/>
      <c r="W310" s="23"/>
      <c r="X310" s="10"/>
      <c r="Y310" s="10"/>
      <c r="Z310" s="10"/>
      <c r="AA310" s="10"/>
      <c r="AB310" s="10"/>
      <c r="AC310" s="10"/>
    </row>
    <row r="311" s="2" customFormat="1" spans="1:29">
      <c r="A311" s="10"/>
      <c r="B311" s="23"/>
      <c r="C311" s="28"/>
      <c r="D311" s="29"/>
      <c r="E311" s="28"/>
      <c r="F311" s="12"/>
      <c r="G311" s="23"/>
      <c r="H311" s="28"/>
      <c r="I311" s="34"/>
      <c r="J311" s="34"/>
      <c r="K311" s="34"/>
      <c r="L311" s="34"/>
      <c r="M311" s="34"/>
      <c r="N311" s="34"/>
      <c r="O311" s="34"/>
      <c r="P311" s="34"/>
      <c r="Q311" s="34"/>
      <c r="R311" s="34"/>
      <c r="S311" s="12"/>
      <c r="T311" s="10"/>
      <c r="U311" s="10"/>
      <c r="V311" s="10"/>
      <c r="W311" s="23"/>
      <c r="X311" s="10"/>
      <c r="Y311" s="10"/>
      <c r="Z311" s="10"/>
      <c r="AA311" s="10"/>
      <c r="AB311" s="10"/>
      <c r="AC311" s="10"/>
    </row>
    <row r="312" s="2" customFormat="1" spans="1:29">
      <c r="A312" s="10"/>
      <c r="B312" s="23"/>
      <c r="C312" s="28"/>
      <c r="D312" s="29"/>
      <c r="E312" s="28"/>
      <c r="F312" s="12"/>
      <c r="G312" s="23"/>
      <c r="H312" s="28"/>
      <c r="I312" s="34"/>
      <c r="J312" s="34"/>
      <c r="K312" s="34"/>
      <c r="L312" s="34"/>
      <c r="M312" s="34"/>
      <c r="N312" s="34"/>
      <c r="O312" s="34"/>
      <c r="P312" s="34"/>
      <c r="Q312" s="34"/>
      <c r="R312" s="34"/>
      <c r="S312" s="12"/>
      <c r="T312" s="10"/>
      <c r="U312" s="10"/>
      <c r="V312" s="10"/>
      <c r="W312" s="23"/>
      <c r="X312" s="10"/>
      <c r="Y312" s="10"/>
      <c r="Z312" s="10"/>
      <c r="AA312" s="10"/>
      <c r="AB312" s="10"/>
      <c r="AC312" s="10"/>
    </row>
    <row r="313" s="2" customFormat="1" spans="1:29">
      <c r="A313" s="10"/>
      <c r="B313" s="23"/>
      <c r="C313" s="28"/>
      <c r="D313" s="29"/>
      <c r="E313" s="28"/>
      <c r="F313" s="35"/>
      <c r="G313" s="23"/>
      <c r="H313" s="28"/>
      <c r="I313" s="34"/>
      <c r="J313" s="34"/>
      <c r="K313" s="34"/>
      <c r="L313" s="34"/>
      <c r="M313" s="34"/>
      <c r="N313" s="34"/>
      <c r="O313" s="34"/>
      <c r="P313" s="34"/>
      <c r="Q313" s="34"/>
      <c r="R313" s="34"/>
      <c r="S313" s="12"/>
      <c r="T313" s="10"/>
      <c r="U313" s="10"/>
      <c r="V313" s="10"/>
      <c r="W313" s="23"/>
      <c r="X313" s="10"/>
      <c r="Y313" s="10"/>
      <c r="Z313" s="10"/>
      <c r="AA313" s="10"/>
      <c r="AB313" s="10"/>
      <c r="AC313" s="10"/>
    </row>
    <row r="314" s="2" customFormat="1" spans="1:29">
      <c r="A314" s="10"/>
      <c r="B314" s="23"/>
      <c r="C314" s="28"/>
      <c r="D314" s="29"/>
      <c r="E314" s="28"/>
      <c r="F314" s="35"/>
      <c r="G314" s="23"/>
      <c r="H314" s="28"/>
      <c r="I314" s="34"/>
      <c r="J314" s="34"/>
      <c r="K314" s="34"/>
      <c r="L314" s="34"/>
      <c r="M314" s="34"/>
      <c r="N314" s="34"/>
      <c r="O314" s="34"/>
      <c r="P314" s="34"/>
      <c r="Q314" s="34"/>
      <c r="R314" s="34"/>
      <c r="S314" s="35"/>
      <c r="T314" s="10"/>
      <c r="U314" s="10"/>
      <c r="V314" s="10"/>
      <c r="W314" s="23"/>
      <c r="X314" s="10"/>
      <c r="Y314" s="10"/>
      <c r="Z314" s="10"/>
      <c r="AA314" s="10"/>
      <c r="AB314" s="10"/>
      <c r="AC314" s="10"/>
    </row>
    <row r="315" s="2" customFormat="1" spans="1:29">
      <c r="A315" s="10"/>
      <c r="B315" s="23"/>
      <c r="C315" s="28"/>
      <c r="D315" s="29"/>
      <c r="E315" s="10"/>
      <c r="F315" s="35"/>
      <c r="G315" s="23"/>
      <c r="H315" s="10"/>
      <c r="I315" s="34"/>
      <c r="J315" s="34"/>
      <c r="K315" s="34"/>
      <c r="L315" s="34"/>
      <c r="M315" s="34"/>
      <c r="N315" s="34"/>
      <c r="O315" s="34"/>
      <c r="P315" s="34"/>
      <c r="Q315" s="34"/>
      <c r="R315" s="34"/>
      <c r="S315" s="12"/>
      <c r="T315" s="10"/>
      <c r="U315" s="10"/>
      <c r="V315" s="10"/>
      <c r="W315" s="23"/>
      <c r="X315" s="10"/>
      <c r="Y315" s="10"/>
      <c r="Z315" s="10"/>
      <c r="AA315" s="10"/>
      <c r="AB315" s="10"/>
      <c r="AC315" s="10"/>
    </row>
    <row r="316" s="2" customFormat="1" spans="1:29">
      <c r="A316" s="10"/>
      <c r="B316" s="23"/>
      <c r="C316" s="28"/>
      <c r="D316" s="29"/>
      <c r="E316" s="10"/>
      <c r="F316" s="35"/>
      <c r="G316" s="23"/>
      <c r="H316" s="10"/>
      <c r="I316" s="34"/>
      <c r="J316" s="34"/>
      <c r="K316" s="34"/>
      <c r="L316" s="34"/>
      <c r="M316" s="34"/>
      <c r="N316" s="34"/>
      <c r="O316" s="34"/>
      <c r="P316" s="34"/>
      <c r="Q316" s="34"/>
      <c r="R316" s="34"/>
      <c r="S316" s="12"/>
      <c r="T316" s="10"/>
      <c r="U316" s="10"/>
      <c r="V316" s="10"/>
      <c r="W316" s="23"/>
      <c r="X316" s="10"/>
      <c r="Y316" s="10"/>
      <c r="Z316" s="10"/>
      <c r="AA316" s="10"/>
      <c r="AB316" s="10"/>
      <c r="AC316" s="10"/>
    </row>
    <row r="317" s="2" customFormat="1" spans="1:29">
      <c r="A317" s="10"/>
      <c r="B317" s="23"/>
      <c r="C317" s="28"/>
      <c r="D317" s="29"/>
      <c r="E317" s="10"/>
      <c r="F317" s="35"/>
      <c r="G317" s="23"/>
      <c r="H317" s="10"/>
      <c r="I317" s="34"/>
      <c r="J317" s="34"/>
      <c r="K317" s="34"/>
      <c r="L317" s="34"/>
      <c r="M317" s="34"/>
      <c r="N317" s="34"/>
      <c r="O317" s="34"/>
      <c r="P317" s="34"/>
      <c r="Q317" s="34"/>
      <c r="R317" s="34"/>
      <c r="S317" s="12"/>
      <c r="T317" s="10"/>
      <c r="U317" s="10"/>
      <c r="V317" s="10"/>
      <c r="W317" s="23"/>
      <c r="X317" s="10"/>
      <c r="Y317" s="10"/>
      <c r="Z317" s="10"/>
      <c r="AA317" s="10"/>
      <c r="AB317" s="10"/>
      <c r="AC317" s="10"/>
    </row>
    <row r="318" s="2" customFormat="1" spans="1:29">
      <c r="A318" s="10"/>
      <c r="B318" s="23"/>
      <c r="C318" s="28"/>
      <c r="D318" s="29"/>
      <c r="E318" s="23"/>
      <c r="F318" s="35"/>
      <c r="G318" s="23"/>
      <c r="H318" s="23"/>
      <c r="I318" s="34"/>
      <c r="J318" s="34"/>
      <c r="K318" s="34"/>
      <c r="L318" s="34"/>
      <c r="M318" s="34"/>
      <c r="N318" s="34"/>
      <c r="O318" s="34"/>
      <c r="P318" s="34"/>
      <c r="Q318" s="34"/>
      <c r="R318" s="34"/>
      <c r="S318" s="12"/>
      <c r="T318" s="10"/>
      <c r="U318" s="10"/>
      <c r="V318" s="10"/>
      <c r="W318" s="23"/>
      <c r="X318" s="10"/>
      <c r="Y318" s="10"/>
      <c r="Z318" s="10"/>
      <c r="AA318" s="10"/>
      <c r="AB318" s="10"/>
      <c r="AC318" s="10"/>
    </row>
    <row r="319" s="2" customFormat="1" spans="1:29">
      <c r="A319" s="10"/>
      <c r="B319" s="23"/>
      <c r="C319" s="28"/>
      <c r="D319" s="29"/>
      <c r="E319" s="23"/>
      <c r="F319" s="35"/>
      <c r="G319" s="23"/>
      <c r="H319" s="23"/>
      <c r="I319" s="34"/>
      <c r="J319" s="34"/>
      <c r="K319" s="34"/>
      <c r="L319" s="34"/>
      <c r="M319" s="34"/>
      <c r="N319" s="34"/>
      <c r="O319" s="34"/>
      <c r="P319" s="34"/>
      <c r="Q319" s="34"/>
      <c r="R319" s="34"/>
      <c r="S319" s="12"/>
      <c r="T319" s="10"/>
      <c r="U319" s="10"/>
      <c r="V319" s="10"/>
      <c r="W319" s="23"/>
      <c r="X319" s="10"/>
      <c r="Y319" s="10"/>
      <c r="Z319" s="10"/>
      <c r="AA319" s="10"/>
      <c r="AB319" s="10"/>
      <c r="AC319" s="10"/>
    </row>
    <row r="320" s="2" customFormat="1" spans="1:29">
      <c r="A320" s="10"/>
      <c r="B320" s="23"/>
      <c r="C320" s="28"/>
      <c r="D320" s="29"/>
      <c r="E320" s="23"/>
      <c r="F320" s="35"/>
      <c r="G320" s="23"/>
      <c r="H320" s="23"/>
      <c r="I320" s="34"/>
      <c r="J320" s="34"/>
      <c r="K320" s="34"/>
      <c r="L320" s="34"/>
      <c r="M320" s="34"/>
      <c r="N320" s="34"/>
      <c r="O320" s="34"/>
      <c r="P320" s="34"/>
      <c r="Q320" s="34"/>
      <c r="R320" s="34"/>
      <c r="S320" s="12"/>
      <c r="T320" s="10"/>
      <c r="U320" s="10"/>
      <c r="V320" s="10"/>
      <c r="W320" s="23"/>
      <c r="X320" s="10"/>
      <c r="Y320" s="10"/>
      <c r="Z320" s="10"/>
      <c r="AA320" s="10"/>
      <c r="AB320" s="10"/>
      <c r="AC320" s="10"/>
    </row>
    <row r="321" s="2" customFormat="1" spans="1:29">
      <c r="A321" s="10"/>
      <c r="B321" s="23"/>
      <c r="C321" s="28"/>
      <c r="D321" s="29"/>
      <c r="E321" s="23"/>
      <c r="F321" s="35"/>
      <c r="G321" s="23"/>
      <c r="H321" s="23"/>
      <c r="I321" s="34"/>
      <c r="J321" s="34"/>
      <c r="K321" s="34"/>
      <c r="L321" s="34"/>
      <c r="M321" s="34"/>
      <c r="N321" s="34"/>
      <c r="O321" s="34"/>
      <c r="P321" s="34"/>
      <c r="Q321" s="34"/>
      <c r="R321" s="34"/>
      <c r="S321" s="12"/>
      <c r="T321" s="10"/>
      <c r="U321" s="10"/>
      <c r="V321" s="10"/>
      <c r="W321" s="23"/>
      <c r="X321" s="10"/>
      <c r="Y321" s="10"/>
      <c r="Z321" s="10"/>
      <c r="AA321" s="10"/>
      <c r="AB321" s="10"/>
      <c r="AC321" s="10"/>
    </row>
    <row r="322" s="2" customFormat="1" spans="1:29">
      <c r="A322" s="10"/>
      <c r="B322" s="23"/>
      <c r="C322" s="28"/>
      <c r="D322" s="29"/>
      <c r="E322" s="23"/>
      <c r="F322" s="35"/>
      <c r="G322" s="23"/>
      <c r="H322" s="23"/>
      <c r="I322" s="34"/>
      <c r="J322" s="34"/>
      <c r="K322" s="34"/>
      <c r="L322" s="34"/>
      <c r="M322" s="34"/>
      <c r="N322" s="34"/>
      <c r="O322" s="34"/>
      <c r="P322" s="34"/>
      <c r="Q322" s="34"/>
      <c r="R322" s="34"/>
      <c r="S322" s="12"/>
      <c r="T322" s="10"/>
      <c r="U322" s="10"/>
      <c r="V322" s="10"/>
      <c r="W322" s="23"/>
      <c r="X322" s="10"/>
      <c r="Y322" s="10"/>
      <c r="Z322" s="10"/>
      <c r="AA322" s="10"/>
      <c r="AB322" s="10"/>
      <c r="AC322" s="10"/>
    </row>
    <row r="323" s="2" customFormat="1" spans="1:29">
      <c r="A323" s="10"/>
      <c r="B323" s="23"/>
      <c r="C323" s="28"/>
      <c r="D323" s="29"/>
      <c r="E323" s="23"/>
      <c r="F323" s="35"/>
      <c r="G323" s="23"/>
      <c r="H323" s="23"/>
      <c r="I323" s="34"/>
      <c r="J323" s="34"/>
      <c r="K323" s="34"/>
      <c r="L323" s="34"/>
      <c r="M323" s="34"/>
      <c r="N323" s="34"/>
      <c r="O323" s="34"/>
      <c r="P323" s="34"/>
      <c r="Q323" s="34"/>
      <c r="R323" s="34"/>
      <c r="S323" s="12"/>
      <c r="T323" s="10"/>
      <c r="U323" s="10"/>
      <c r="V323" s="10"/>
      <c r="W323" s="23"/>
      <c r="X323" s="10"/>
      <c r="Y323" s="10"/>
      <c r="Z323" s="10"/>
      <c r="AA323" s="10"/>
      <c r="AB323" s="10"/>
      <c r="AC323" s="10"/>
    </row>
    <row r="324" s="2" customFormat="1" spans="1:29">
      <c r="A324" s="10"/>
      <c r="B324" s="23"/>
      <c r="C324" s="28"/>
      <c r="D324" s="29"/>
      <c r="E324" s="23"/>
      <c r="F324" s="35"/>
      <c r="G324" s="23"/>
      <c r="H324" s="23"/>
      <c r="I324" s="34"/>
      <c r="J324" s="34"/>
      <c r="K324" s="34"/>
      <c r="L324" s="34"/>
      <c r="M324" s="34"/>
      <c r="N324" s="34"/>
      <c r="O324" s="34"/>
      <c r="P324" s="34"/>
      <c r="Q324" s="34"/>
      <c r="R324" s="34"/>
      <c r="S324" s="12"/>
      <c r="T324" s="10"/>
      <c r="U324" s="10"/>
      <c r="V324" s="10"/>
      <c r="W324" s="23"/>
      <c r="X324" s="10"/>
      <c r="Y324" s="10"/>
      <c r="Z324" s="10"/>
      <c r="AA324" s="10"/>
      <c r="AB324" s="10"/>
      <c r="AC324" s="10"/>
    </row>
    <row r="325" s="2" customFormat="1" spans="1:29">
      <c r="A325" s="10"/>
      <c r="B325" s="23"/>
      <c r="C325" s="28"/>
      <c r="D325" s="23"/>
      <c r="E325" s="10"/>
      <c r="F325" s="35"/>
      <c r="G325" s="23"/>
      <c r="H325" s="23"/>
      <c r="I325" s="34"/>
      <c r="J325" s="34"/>
      <c r="K325" s="34"/>
      <c r="L325" s="34"/>
      <c r="M325" s="34"/>
      <c r="N325" s="34"/>
      <c r="O325" s="34"/>
      <c r="P325" s="34"/>
      <c r="Q325" s="34"/>
      <c r="R325" s="34"/>
      <c r="S325" s="12"/>
      <c r="T325" s="10"/>
      <c r="U325" s="10"/>
      <c r="V325" s="10"/>
      <c r="W325" s="23"/>
      <c r="X325" s="10"/>
      <c r="Y325" s="10"/>
      <c r="Z325" s="10"/>
      <c r="AA325" s="10"/>
      <c r="AB325" s="10"/>
      <c r="AC325" s="10"/>
    </row>
    <row r="326" s="2" customFormat="1" spans="1:29">
      <c r="A326" s="10"/>
      <c r="B326" s="10"/>
      <c r="C326" s="28"/>
      <c r="D326" s="23"/>
      <c r="E326" s="23"/>
      <c r="F326" s="35"/>
      <c r="G326" s="23"/>
      <c r="H326" s="28"/>
      <c r="I326" s="34"/>
      <c r="J326" s="34"/>
      <c r="K326" s="34"/>
      <c r="L326" s="34"/>
      <c r="M326" s="34"/>
      <c r="N326" s="34"/>
      <c r="O326" s="34"/>
      <c r="P326" s="34"/>
      <c r="Q326" s="34"/>
      <c r="R326" s="34"/>
      <c r="S326" s="12"/>
      <c r="T326" s="10"/>
      <c r="U326" s="10"/>
      <c r="V326" s="10"/>
      <c r="W326" s="23"/>
      <c r="X326" s="10"/>
      <c r="Y326" s="10"/>
      <c r="Z326" s="10"/>
      <c r="AA326" s="10"/>
      <c r="AB326" s="10"/>
      <c r="AC326" s="10"/>
    </row>
    <row r="327" s="2" customFormat="1" spans="1:29">
      <c r="A327" s="10"/>
      <c r="B327" s="10"/>
      <c r="C327" s="28"/>
      <c r="D327" s="23"/>
      <c r="E327" s="23"/>
      <c r="F327" s="35"/>
      <c r="G327" s="23"/>
      <c r="H327" s="28"/>
      <c r="I327" s="34"/>
      <c r="J327" s="34"/>
      <c r="K327" s="34"/>
      <c r="L327" s="34"/>
      <c r="M327" s="34"/>
      <c r="N327" s="34"/>
      <c r="O327" s="34"/>
      <c r="P327" s="34"/>
      <c r="Q327" s="34"/>
      <c r="R327" s="34"/>
      <c r="S327" s="12"/>
      <c r="T327" s="10"/>
      <c r="U327" s="10"/>
      <c r="V327" s="10"/>
      <c r="W327" s="23"/>
      <c r="X327" s="10"/>
      <c r="Y327" s="10"/>
      <c r="Z327" s="10"/>
      <c r="AA327" s="10"/>
      <c r="AB327" s="10"/>
      <c r="AC327" s="10"/>
    </row>
    <row r="328" s="2" customFormat="1" spans="1:29">
      <c r="A328" s="10"/>
      <c r="B328" s="10"/>
      <c r="C328" s="28"/>
      <c r="D328" s="23"/>
      <c r="E328" s="23"/>
      <c r="F328" s="35"/>
      <c r="G328" s="23"/>
      <c r="H328" s="28"/>
      <c r="I328" s="34"/>
      <c r="J328" s="34"/>
      <c r="K328" s="34"/>
      <c r="L328" s="34"/>
      <c r="M328" s="34"/>
      <c r="N328" s="34"/>
      <c r="O328" s="34"/>
      <c r="P328" s="34"/>
      <c r="Q328" s="34"/>
      <c r="R328" s="34"/>
      <c r="S328" s="12"/>
      <c r="T328" s="10"/>
      <c r="U328" s="10"/>
      <c r="V328" s="10"/>
      <c r="W328" s="23"/>
      <c r="X328" s="10"/>
      <c r="Y328" s="10"/>
      <c r="Z328" s="10"/>
      <c r="AA328" s="10"/>
      <c r="AB328" s="10"/>
      <c r="AC328" s="10"/>
    </row>
    <row r="329" s="2" customFormat="1" spans="1:29">
      <c r="A329" s="10"/>
      <c r="B329" s="10"/>
      <c r="C329" s="28"/>
      <c r="D329" s="23"/>
      <c r="E329" s="23"/>
      <c r="F329" s="35"/>
      <c r="G329" s="23"/>
      <c r="H329" s="28"/>
      <c r="I329" s="34"/>
      <c r="J329" s="34"/>
      <c r="K329" s="34"/>
      <c r="L329" s="34"/>
      <c r="M329" s="34"/>
      <c r="N329" s="34"/>
      <c r="O329" s="34"/>
      <c r="P329" s="34"/>
      <c r="Q329" s="34"/>
      <c r="R329" s="34"/>
      <c r="S329" s="12"/>
      <c r="T329" s="10"/>
      <c r="U329" s="10"/>
      <c r="V329" s="10"/>
      <c r="W329" s="23"/>
      <c r="X329" s="10"/>
      <c r="Y329" s="10"/>
      <c r="Z329" s="10"/>
      <c r="AA329" s="10"/>
      <c r="AB329" s="10"/>
      <c r="AC329" s="10"/>
    </row>
    <row r="330" s="2" customFormat="1" spans="1:29">
      <c r="A330" s="10"/>
      <c r="B330" s="10"/>
      <c r="C330" s="28"/>
      <c r="D330" s="23"/>
      <c r="E330" s="23"/>
      <c r="F330" s="35"/>
      <c r="G330" s="23"/>
      <c r="H330" s="28"/>
      <c r="I330" s="34"/>
      <c r="J330" s="34"/>
      <c r="K330" s="34"/>
      <c r="L330" s="34"/>
      <c r="M330" s="34"/>
      <c r="N330" s="34"/>
      <c r="O330" s="34"/>
      <c r="P330" s="34"/>
      <c r="Q330" s="34"/>
      <c r="R330" s="34"/>
      <c r="S330" s="12"/>
      <c r="T330" s="10"/>
      <c r="U330" s="10"/>
      <c r="V330" s="10"/>
      <c r="W330" s="23"/>
      <c r="X330" s="10"/>
      <c r="Y330" s="10"/>
      <c r="Z330" s="10"/>
      <c r="AA330" s="10"/>
      <c r="AB330" s="10"/>
      <c r="AC330" s="10"/>
    </row>
    <row r="331" s="2" customFormat="1" spans="1:29">
      <c r="A331" s="10"/>
      <c r="B331" s="10"/>
      <c r="C331" s="28"/>
      <c r="D331" s="23"/>
      <c r="E331" s="23"/>
      <c r="F331" s="35"/>
      <c r="G331" s="23"/>
      <c r="H331" s="28"/>
      <c r="I331" s="34"/>
      <c r="J331" s="34"/>
      <c r="K331" s="34"/>
      <c r="L331" s="34"/>
      <c r="M331" s="34"/>
      <c r="N331" s="34"/>
      <c r="O331" s="34"/>
      <c r="P331" s="34"/>
      <c r="Q331" s="34"/>
      <c r="R331" s="34"/>
      <c r="S331" s="12"/>
      <c r="T331" s="10"/>
      <c r="U331" s="10"/>
      <c r="V331" s="10"/>
      <c r="W331" s="23"/>
      <c r="X331" s="10"/>
      <c r="Y331" s="10"/>
      <c r="Z331" s="10"/>
      <c r="AA331" s="10"/>
      <c r="AB331" s="10"/>
      <c r="AC331" s="10"/>
    </row>
    <row r="332" s="2" customFormat="1" spans="1:29">
      <c r="A332" s="10"/>
      <c r="B332" s="10"/>
      <c r="C332" s="28"/>
      <c r="D332" s="23"/>
      <c r="E332" s="23"/>
      <c r="F332" s="35"/>
      <c r="G332" s="23"/>
      <c r="H332" s="28"/>
      <c r="I332" s="34"/>
      <c r="J332" s="34"/>
      <c r="K332" s="34"/>
      <c r="L332" s="34"/>
      <c r="M332" s="34"/>
      <c r="N332" s="34"/>
      <c r="O332" s="34"/>
      <c r="P332" s="34"/>
      <c r="Q332" s="34"/>
      <c r="R332" s="34"/>
      <c r="S332" s="12"/>
      <c r="T332" s="10"/>
      <c r="U332" s="10"/>
      <c r="V332" s="10"/>
      <c r="W332" s="23"/>
      <c r="X332" s="10"/>
      <c r="Y332" s="10"/>
      <c r="Z332" s="10"/>
      <c r="AA332" s="10"/>
      <c r="AB332" s="10"/>
      <c r="AC332" s="10"/>
    </row>
    <row r="333" s="2" customFormat="1" spans="1:29">
      <c r="A333" s="10"/>
      <c r="B333" s="10"/>
      <c r="C333" s="28"/>
      <c r="D333" s="23"/>
      <c r="E333" s="23"/>
      <c r="F333" s="35"/>
      <c r="G333" s="23"/>
      <c r="H333" s="28"/>
      <c r="I333" s="34"/>
      <c r="J333" s="34"/>
      <c r="K333" s="34"/>
      <c r="L333" s="34"/>
      <c r="M333" s="34"/>
      <c r="N333" s="34"/>
      <c r="O333" s="34"/>
      <c r="P333" s="34"/>
      <c r="Q333" s="34"/>
      <c r="R333" s="34"/>
      <c r="S333" s="12"/>
      <c r="T333" s="10"/>
      <c r="U333" s="10"/>
      <c r="V333" s="10"/>
      <c r="W333" s="23"/>
      <c r="X333" s="10"/>
      <c r="Y333" s="10"/>
      <c r="Z333" s="10"/>
      <c r="AA333" s="10"/>
      <c r="AB333" s="10"/>
      <c r="AC333" s="10"/>
    </row>
    <row r="334" s="2" customFormat="1" spans="1:29">
      <c r="A334" s="10"/>
      <c r="B334" s="23"/>
      <c r="C334" s="29"/>
      <c r="D334" s="23"/>
      <c r="E334" s="23"/>
      <c r="F334" s="35"/>
      <c r="G334" s="23"/>
      <c r="H334" s="29"/>
      <c r="I334" s="34"/>
      <c r="J334" s="34"/>
      <c r="K334" s="34"/>
      <c r="L334" s="34"/>
      <c r="M334" s="34"/>
      <c r="N334" s="34"/>
      <c r="O334" s="34"/>
      <c r="P334" s="34"/>
      <c r="Q334" s="34"/>
      <c r="R334" s="34"/>
      <c r="S334" s="35"/>
      <c r="T334" s="10"/>
      <c r="U334" s="10"/>
      <c r="V334" s="10"/>
      <c r="W334" s="23"/>
      <c r="X334" s="10"/>
      <c r="Y334" s="10"/>
      <c r="Z334" s="10"/>
      <c r="AA334" s="10"/>
      <c r="AB334" s="10"/>
      <c r="AC334" s="10"/>
    </row>
    <row r="335" s="2" customFormat="1" spans="1:29">
      <c r="A335" s="10"/>
      <c r="B335" s="23"/>
      <c r="C335" s="29"/>
      <c r="D335" s="23"/>
      <c r="E335" s="23"/>
      <c r="F335" s="35"/>
      <c r="G335" s="23"/>
      <c r="H335" s="29"/>
      <c r="I335" s="34"/>
      <c r="J335" s="34"/>
      <c r="K335" s="34"/>
      <c r="L335" s="34"/>
      <c r="M335" s="34"/>
      <c r="N335" s="34"/>
      <c r="O335" s="34"/>
      <c r="P335" s="34"/>
      <c r="Q335" s="34"/>
      <c r="R335" s="34"/>
      <c r="S335" s="12"/>
      <c r="T335" s="10"/>
      <c r="U335" s="10"/>
      <c r="V335" s="10"/>
      <c r="W335" s="23"/>
      <c r="X335" s="10"/>
      <c r="Y335" s="10"/>
      <c r="Z335" s="10"/>
      <c r="AA335" s="10"/>
      <c r="AB335" s="10"/>
      <c r="AC335" s="10"/>
    </row>
    <row r="336" s="2" customFormat="1" spans="1:29">
      <c r="A336" s="10"/>
      <c r="B336" s="23"/>
      <c r="C336" s="29"/>
      <c r="D336" s="23"/>
      <c r="E336" s="23"/>
      <c r="F336" s="35"/>
      <c r="G336" s="23"/>
      <c r="H336" s="29"/>
      <c r="I336" s="34"/>
      <c r="J336" s="34"/>
      <c r="K336" s="34"/>
      <c r="L336" s="34"/>
      <c r="M336" s="34"/>
      <c r="N336" s="34"/>
      <c r="O336" s="34"/>
      <c r="P336" s="34"/>
      <c r="Q336" s="34"/>
      <c r="R336" s="34"/>
      <c r="S336" s="12"/>
      <c r="T336" s="10"/>
      <c r="U336" s="10"/>
      <c r="V336" s="10"/>
      <c r="W336" s="23"/>
      <c r="X336" s="10"/>
      <c r="Y336" s="10"/>
      <c r="Z336" s="10"/>
      <c r="AA336" s="10"/>
      <c r="AB336" s="10"/>
      <c r="AC336" s="10"/>
    </row>
    <row r="337" s="2" customFormat="1" spans="1:29">
      <c r="A337" s="10"/>
      <c r="B337" s="23"/>
      <c r="C337" s="29"/>
      <c r="D337" s="23"/>
      <c r="E337" s="23"/>
      <c r="F337" s="35"/>
      <c r="G337" s="23"/>
      <c r="H337" s="29"/>
      <c r="I337" s="34"/>
      <c r="J337" s="34"/>
      <c r="K337" s="34"/>
      <c r="L337" s="34"/>
      <c r="M337" s="34"/>
      <c r="N337" s="34"/>
      <c r="O337" s="34"/>
      <c r="P337" s="34"/>
      <c r="Q337" s="34"/>
      <c r="R337" s="34"/>
      <c r="S337" s="12"/>
      <c r="T337" s="10"/>
      <c r="U337" s="10"/>
      <c r="V337" s="10"/>
      <c r="W337" s="23"/>
      <c r="X337" s="10"/>
      <c r="Y337" s="10"/>
      <c r="Z337" s="10"/>
      <c r="AA337" s="10"/>
      <c r="AB337" s="10"/>
      <c r="AC337" s="10"/>
    </row>
    <row r="338" s="2" customFormat="1" spans="1:29">
      <c r="A338" s="10"/>
      <c r="B338" s="23"/>
      <c r="C338" s="29"/>
      <c r="D338" s="23"/>
      <c r="E338" s="23"/>
      <c r="F338" s="35"/>
      <c r="G338" s="23"/>
      <c r="H338" s="29"/>
      <c r="I338" s="34"/>
      <c r="J338" s="34"/>
      <c r="K338" s="34"/>
      <c r="L338" s="34"/>
      <c r="M338" s="34"/>
      <c r="N338" s="34"/>
      <c r="O338" s="34"/>
      <c r="P338" s="34"/>
      <c r="Q338" s="34"/>
      <c r="R338" s="34"/>
      <c r="S338" s="12"/>
      <c r="T338" s="10"/>
      <c r="U338" s="10"/>
      <c r="V338" s="10"/>
      <c r="W338" s="23"/>
      <c r="X338" s="10"/>
      <c r="Y338" s="10"/>
      <c r="Z338" s="10"/>
      <c r="AA338" s="10"/>
      <c r="AB338" s="10"/>
      <c r="AC338" s="10"/>
    </row>
    <row r="339" s="2" customFormat="1" spans="1:29">
      <c r="A339" s="10"/>
      <c r="B339" s="23"/>
      <c r="C339" s="29"/>
      <c r="D339" s="23"/>
      <c r="E339" s="23"/>
      <c r="F339" s="35"/>
      <c r="G339" s="23"/>
      <c r="H339" s="29"/>
      <c r="I339" s="34"/>
      <c r="J339" s="34"/>
      <c r="K339" s="34"/>
      <c r="L339" s="34"/>
      <c r="M339" s="34"/>
      <c r="N339" s="34"/>
      <c r="O339" s="34"/>
      <c r="P339" s="34"/>
      <c r="Q339" s="34"/>
      <c r="R339" s="34"/>
      <c r="S339" s="12"/>
      <c r="T339" s="10"/>
      <c r="U339" s="10"/>
      <c r="V339" s="10"/>
      <c r="W339" s="23"/>
      <c r="X339" s="10"/>
      <c r="Y339" s="10"/>
      <c r="Z339" s="10"/>
      <c r="AA339" s="10"/>
      <c r="AB339" s="10"/>
      <c r="AC339" s="10"/>
    </row>
    <row r="340" s="2" customFormat="1" spans="1:29">
      <c r="A340" s="10"/>
      <c r="B340" s="23"/>
      <c r="C340" s="29"/>
      <c r="D340" s="23"/>
      <c r="E340" s="23"/>
      <c r="F340" s="35"/>
      <c r="G340" s="23"/>
      <c r="H340" s="29"/>
      <c r="I340" s="34"/>
      <c r="J340" s="34"/>
      <c r="K340" s="34"/>
      <c r="L340" s="34"/>
      <c r="M340" s="34"/>
      <c r="N340" s="34"/>
      <c r="O340" s="34"/>
      <c r="P340" s="34"/>
      <c r="Q340" s="34"/>
      <c r="R340" s="34"/>
      <c r="S340" s="12"/>
      <c r="T340" s="10"/>
      <c r="U340" s="10"/>
      <c r="V340" s="10"/>
      <c r="W340" s="23"/>
      <c r="X340" s="10"/>
      <c r="Y340" s="10"/>
      <c r="Z340" s="10"/>
      <c r="AA340" s="10"/>
      <c r="AB340" s="10"/>
      <c r="AC340" s="10"/>
    </row>
    <row r="341" s="2" customFormat="1" spans="1:29">
      <c r="A341" s="10"/>
      <c r="B341" s="23"/>
      <c r="C341" s="29"/>
      <c r="D341" s="23"/>
      <c r="E341" s="23"/>
      <c r="F341" s="35"/>
      <c r="G341" s="23"/>
      <c r="H341" s="29"/>
      <c r="I341" s="34"/>
      <c r="J341" s="34"/>
      <c r="K341" s="34"/>
      <c r="L341" s="34"/>
      <c r="M341" s="34"/>
      <c r="N341" s="34"/>
      <c r="O341" s="34"/>
      <c r="P341" s="34"/>
      <c r="Q341" s="34"/>
      <c r="R341" s="34"/>
      <c r="S341" s="12"/>
      <c r="T341" s="10"/>
      <c r="U341" s="10"/>
      <c r="V341" s="10"/>
      <c r="W341" s="23"/>
      <c r="X341" s="10"/>
      <c r="Y341" s="10"/>
      <c r="Z341" s="10"/>
      <c r="AA341" s="10"/>
      <c r="AB341" s="10"/>
      <c r="AC341" s="10"/>
    </row>
    <row r="342" s="2" customFormat="1" spans="1:29">
      <c r="A342" s="10"/>
      <c r="B342" s="23"/>
      <c r="C342" s="29"/>
      <c r="D342" s="23"/>
      <c r="E342" s="23"/>
      <c r="F342" s="35"/>
      <c r="G342" s="23"/>
      <c r="H342" s="29"/>
      <c r="I342" s="34"/>
      <c r="J342" s="34"/>
      <c r="K342" s="34"/>
      <c r="L342" s="34"/>
      <c r="M342" s="34"/>
      <c r="N342" s="34"/>
      <c r="O342" s="34"/>
      <c r="P342" s="34"/>
      <c r="Q342" s="34"/>
      <c r="R342" s="34"/>
      <c r="S342" s="12"/>
      <c r="T342" s="10"/>
      <c r="U342" s="10"/>
      <c r="V342" s="10"/>
      <c r="W342" s="23"/>
      <c r="X342" s="10"/>
      <c r="Y342" s="10"/>
      <c r="Z342" s="10"/>
      <c r="AA342" s="10"/>
      <c r="AB342" s="10"/>
      <c r="AC342" s="10"/>
    </row>
    <row r="343" s="2" customFormat="1" spans="1:29">
      <c r="A343" s="10"/>
      <c r="B343" s="23"/>
      <c r="C343" s="23"/>
      <c r="D343" s="23"/>
      <c r="E343" s="23"/>
      <c r="F343" s="35"/>
      <c r="G343" s="23"/>
      <c r="H343" s="23"/>
      <c r="I343" s="34"/>
      <c r="J343" s="34"/>
      <c r="K343" s="34"/>
      <c r="L343" s="34"/>
      <c r="M343" s="34"/>
      <c r="N343" s="34"/>
      <c r="O343" s="34"/>
      <c r="P343" s="34"/>
      <c r="Q343" s="34"/>
      <c r="R343" s="34"/>
      <c r="S343" s="35"/>
      <c r="T343" s="10"/>
      <c r="U343" s="10"/>
      <c r="V343" s="10"/>
      <c r="W343" s="23"/>
      <c r="X343" s="10"/>
      <c r="Y343" s="10"/>
      <c r="Z343" s="10"/>
      <c r="AA343" s="10"/>
      <c r="AB343" s="10"/>
      <c r="AC343" s="10"/>
    </row>
  </sheetData>
  <autoFilter xmlns:etc="http://www.wps.cn/officeDocument/2017/etCustomData" ref="A1:AD91" etc:filterBottomFollowUsedRange="0">
    <filterColumn colId="1">
      <customFilters>
        <customFilter operator="equal" val="职业健康卫生危害因素分析"/>
      </customFilters>
    </filterColumn>
    <extLst/>
  </autoFilter>
  <mergeCells count="17">
    <mergeCell ref="H5:H6"/>
    <mergeCell ref="H7:H10"/>
    <mergeCell ref="H11:H12"/>
    <mergeCell ref="H14:H17"/>
    <mergeCell ref="H18:H24"/>
    <mergeCell ref="H25:H29"/>
    <mergeCell ref="H30:H43"/>
    <mergeCell ref="H44:H50"/>
    <mergeCell ref="H51:H55"/>
    <mergeCell ref="H56:H60"/>
    <mergeCell ref="H61:H64"/>
    <mergeCell ref="H65:H67"/>
    <mergeCell ref="H68:H71"/>
    <mergeCell ref="H72:H76"/>
    <mergeCell ref="H77:H79"/>
    <mergeCell ref="H80:H82"/>
    <mergeCell ref="H89:H90"/>
  </mergeCells>
  <dataValidations count="2">
    <dataValidation type="list" allowBlank="1" showInputMessage="1" showErrorMessage="1" sqref="T2:T91 Y2:Y91">
      <formula1>"结构化数据,体数据,图件,文档"</formula1>
    </dataValidation>
    <dataValidation type="list" allowBlank="1" showInputMessage="1" showErrorMessage="1" sqref="V2:V91">
      <formula1>"气藏地质,气藏工程,钻井工程,采气工程,地面工程,安全环保,实例库,知识库"</formula1>
    </dataValidation>
  </dataValidations>
  <pageMargins left="0.75" right="0.75" top="1" bottom="1" header="0.5" footer="0.5"/>
  <headerFooter/>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AC253"/>
  <sheetViews>
    <sheetView zoomScale="90" zoomScaleNormal="90" workbookViewId="0">
      <pane ySplit="1" topLeftCell="A76" activePane="bottomLeft" state="frozen"/>
      <selection/>
      <selection pane="bottomLeft" activeCell="A1" sqref="$A1:$XFD3"/>
    </sheetView>
  </sheetViews>
  <sheetFormatPr defaultColWidth="9.06666666666667" defaultRowHeight="16.5"/>
  <cols>
    <col min="1" max="1" width="10.9416666666667" style="3" customWidth="1"/>
    <col min="2" max="2" width="21.175" style="3" customWidth="1"/>
    <col min="3" max="3" width="16.1" style="3" customWidth="1"/>
    <col min="4" max="4" width="22.6" style="3" customWidth="1"/>
    <col min="5" max="5" width="24.1" style="3" hidden="1" customWidth="1"/>
    <col min="6" max="7" width="11.25" style="4" hidden="1" customWidth="1"/>
    <col min="8" max="8" width="17.2" style="3" customWidth="1"/>
    <col min="9" max="9" width="16.5" style="3" hidden="1" customWidth="1"/>
    <col min="10" max="10" width="21.875" style="3" hidden="1" customWidth="1"/>
    <col min="11" max="11" width="13.875" style="3" hidden="1" customWidth="1"/>
    <col min="12" max="18" width="11.25" style="3" hidden="1" customWidth="1"/>
    <col min="19" max="19" width="28.2" style="3" customWidth="1"/>
    <col min="20" max="20" width="13.375" style="4" customWidth="1"/>
    <col min="21" max="21" width="21.525" style="4" customWidth="1"/>
    <col min="22" max="22" width="7.6" style="4" customWidth="1"/>
    <col min="23" max="23" width="4.4" style="5" customWidth="1"/>
    <col min="24" max="24" width="23.375" style="4" customWidth="1"/>
    <col min="25" max="25" width="13.875" style="4" customWidth="1"/>
    <col min="26" max="26" width="16.55" style="4" customWidth="1"/>
    <col min="27" max="27" width="11.25" style="4" customWidth="1"/>
    <col min="28" max="28" width="41.8833333333333" style="4" customWidth="1"/>
    <col min="29" max="29" width="30.25" style="4" customWidth="1"/>
    <col min="30" max="30" width="29.625" customWidth="1"/>
  </cols>
  <sheetData>
    <row r="1" s="1" customFormat="1" ht="21" spans="1:29">
      <c r="A1" s="6" t="s">
        <v>0</v>
      </c>
      <c r="B1" s="7" t="s">
        <v>1</v>
      </c>
      <c r="C1" s="7" t="s">
        <v>2</v>
      </c>
      <c r="D1" s="7" t="s">
        <v>3</v>
      </c>
      <c r="E1" s="8" t="s">
        <v>4</v>
      </c>
      <c r="F1" s="6" t="s">
        <v>5</v>
      </c>
      <c r="G1" s="6" t="s">
        <v>6</v>
      </c>
      <c r="H1" s="9" t="s">
        <v>7</v>
      </c>
      <c r="I1" s="6" t="s">
        <v>8</v>
      </c>
      <c r="J1" s="6" t="s">
        <v>9</v>
      </c>
      <c r="K1" s="6" t="s">
        <v>10</v>
      </c>
      <c r="L1" s="6" t="s">
        <v>11</v>
      </c>
      <c r="M1" s="6" t="s">
        <v>12</v>
      </c>
      <c r="N1" s="6" t="s">
        <v>13</v>
      </c>
      <c r="O1" s="6" t="s">
        <v>14</v>
      </c>
      <c r="P1" s="6" t="s">
        <v>15</v>
      </c>
      <c r="Q1" s="6" t="s">
        <v>16</v>
      </c>
      <c r="R1" s="6" t="s">
        <v>17</v>
      </c>
      <c r="S1" s="20" t="s">
        <v>18</v>
      </c>
      <c r="T1" s="21" t="s">
        <v>19</v>
      </c>
      <c r="U1" s="21" t="s">
        <v>20</v>
      </c>
      <c r="V1" s="22" t="s">
        <v>21</v>
      </c>
      <c r="W1" s="22" t="s">
        <v>22</v>
      </c>
      <c r="X1" s="7" t="s">
        <v>23</v>
      </c>
      <c r="Y1" s="7" t="s">
        <v>24</v>
      </c>
      <c r="Z1" s="7" t="s">
        <v>25</v>
      </c>
      <c r="AA1" s="27" t="s">
        <v>26</v>
      </c>
      <c r="AB1" s="27" t="s">
        <v>27</v>
      </c>
      <c r="AC1" s="27" t="s">
        <v>28</v>
      </c>
    </row>
    <row r="2" s="2" customFormat="1" ht="198" hidden="1" spans="1:29">
      <c r="A2" s="10" t="s">
        <v>1426</v>
      </c>
      <c r="B2" s="11" t="s">
        <v>1427</v>
      </c>
      <c r="C2" s="10" t="s">
        <v>1428</v>
      </c>
      <c r="D2" s="10" t="s">
        <v>1428</v>
      </c>
      <c r="E2" s="12"/>
      <c r="F2" s="13"/>
      <c r="G2" s="13"/>
      <c r="H2" s="10" t="s">
        <v>1428</v>
      </c>
      <c r="I2" s="10"/>
      <c r="J2" s="10"/>
      <c r="K2" s="10"/>
      <c r="L2" s="10"/>
      <c r="M2" s="10"/>
      <c r="N2" s="10"/>
      <c r="O2" s="10"/>
      <c r="P2" s="10"/>
      <c r="Q2" s="10"/>
      <c r="R2" s="10"/>
      <c r="S2" s="10" t="s">
        <v>1429</v>
      </c>
      <c r="T2" s="10" t="s">
        <v>68</v>
      </c>
      <c r="U2" s="28" t="s">
        <v>1430</v>
      </c>
      <c r="V2" s="28" t="s">
        <v>95</v>
      </c>
      <c r="W2" s="23"/>
      <c r="X2" s="10" t="s">
        <v>1429</v>
      </c>
      <c r="Y2" s="10" t="s">
        <v>68</v>
      </c>
      <c r="Z2" s="10" t="str">
        <f>_xlfn.DISPIMG("ID_A48AAB49E3E748A183104449D2967141",1)</f>
        <v>=DISPIMG("ID_A48AAB49E3E748A183104449D2967141",1)</v>
      </c>
      <c r="AA2" s="10" t="s">
        <v>1431</v>
      </c>
      <c r="AB2" s="10" t="s">
        <v>1432</v>
      </c>
      <c r="AC2" s="10"/>
    </row>
    <row r="3" s="2" customFormat="1" ht="82.5" hidden="1" spans="1:29">
      <c r="A3" s="10" t="s">
        <v>1426</v>
      </c>
      <c r="B3" s="11" t="s">
        <v>1427</v>
      </c>
      <c r="C3" s="10" t="s">
        <v>136</v>
      </c>
      <c r="D3" s="10" t="s">
        <v>136</v>
      </c>
      <c r="E3" s="12"/>
      <c r="F3" s="13"/>
      <c r="G3" s="13"/>
      <c r="H3" s="10" t="s">
        <v>136</v>
      </c>
      <c r="I3" s="10"/>
      <c r="J3" s="10"/>
      <c r="K3" s="10"/>
      <c r="L3" s="10"/>
      <c r="M3" s="10"/>
      <c r="N3" s="10"/>
      <c r="O3" s="10"/>
      <c r="P3" s="10"/>
      <c r="Q3" s="10"/>
      <c r="R3" s="10"/>
      <c r="S3" s="10" t="s">
        <v>1433</v>
      </c>
      <c r="T3" s="10" t="s">
        <v>68</v>
      </c>
      <c r="U3" s="28" t="s">
        <v>1434</v>
      </c>
      <c r="V3" s="28" t="s">
        <v>136</v>
      </c>
      <c r="W3" s="23"/>
      <c r="X3" s="10" t="s">
        <v>1433</v>
      </c>
      <c r="Y3" s="10" t="s">
        <v>68</v>
      </c>
      <c r="Z3" s="10" t="str">
        <f>_xlfn.DISPIMG("ID_647355908CC34ECEBF0F6FA4BCCF2F4A",1)</f>
        <v>=DISPIMG("ID_647355908CC34ECEBF0F6FA4BCCF2F4A",1)</v>
      </c>
      <c r="AA3" s="10" t="s">
        <v>1431</v>
      </c>
      <c r="AB3" s="10" t="s">
        <v>1435</v>
      </c>
      <c r="AC3" s="10"/>
    </row>
    <row r="4" s="2" customFormat="1" ht="115.5" hidden="1" spans="1:29">
      <c r="A4" s="10" t="s">
        <v>1426</v>
      </c>
      <c r="B4" s="11" t="s">
        <v>1427</v>
      </c>
      <c r="C4" s="10" t="s">
        <v>210</v>
      </c>
      <c r="D4" s="10" t="s">
        <v>210</v>
      </c>
      <c r="E4" s="12"/>
      <c r="F4" s="13"/>
      <c r="G4" s="13"/>
      <c r="H4" s="14" t="s">
        <v>210</v>
      </c>
      <c r="I4" s="10"/>
      <c r="J4" s="10"/>
      <c r="K4" s="10"/>
      <c r="L4" s="10"/>
      <c r="M4" s="10"/>
      <c r="N4" s="10"/>
      <c r="O4" s="10"/>
      <c r="P4" s="10"/>
      <c r="Q4" s="10"/>
      <c r="R4" s="10"/>
      <c r="S4" s="10" t="s">
        <v>1436</v>
      </c>
      <c r="T4" s="10" t="s">
        <v>68</v>
      </c>
      <c r="U4" s="28" t="s">
        <v>1437</v>
      </c>
      <c r="V4" s="28" t="s">
        <v>210</v>
      </c>
      <c r="W4" s="23"/>
      <c r="X4" s="10" t="s">
        <v>1436</v>
      </c>
      <c r="Y4" s="10" t="s">
        <v>68</v>
      </c>
      <c r="Z4" s="10" t="str">
        <f>_xlfn.DISPIMG("ID_F636FC85B3ED44F9A4AF8F3DDA28FC14",1)</f>
        <v>=DISPIMG("ID_F636FC85B3ED44F9A4AF8F3DDA28FC14",1)</v>
      </c>
      <c r="AA4" s="10" t="s">
        <v>1431</v>
      </c>
      <c r="AB4" s="10" t="s">
        <v>1438</v>
      </c>
      <c r="AC4" s="10"/>
    </row>
    <row r="5" s="2" customFormat="1" ht="60" hidden="1" spans="1:29">
      <c r="A5" s="10" t="s">
        <v>1426</v>
      </c>
      <c r="B5" s="11" t="s">
        <v>1427</v>
      </c>
      <c r="C5" s="10" t="s">
        <v>210</v>
      </c>
      <c r="D5" s="10" t="s">
        <v>210</v>
      </c>
      <c r="E5" s="12"/>
      <c r="F5" s="13"/>
      <c r="G5" s="13"/>
      <c r="H5" s="15"/>
      <c r="I5" s="10"/>
      <c r="J5" s="10"/>
      <c r="K5" s="10"/>
      <c r="L5" s="10"/>
      <c r="M5" s="10"/>
      <c r="N5" s="10"/>
      <c r="O5" s="10"/>
      <c r="P5" s="10"/>
      <c r="Q5" s="10"/>
      <c r="R5" s="10"/>
      <c r="S5" s="10" t="s">
        <v>1439</v>
      </c>
      <c r="T5" s="10" t="s">
        <v>68</v>
      </c>
      <c r="U5" s="28" t="s">
        <v>1440</v>
      </c>
      <c r="V5" s="28" t="s">
        <v>210</v>
      </c>
      <c r="W5" s="23"/>
      <c r="X5" s="10" t="s">
        <v>1439</v>
      </c>
      <c r="Y5" s="10" t="s">
        <v>68</v>
      </c>
      <c r="Z5" s="10" t="str">
        <f>_xlfn.DISPIMG("ID_BC79BAC4D51C4B2BB5BA7055BD37AD97",1)</f>
        <v>=DISPIMG("ID_BC79BAC4D51C4B2BB5BA7055BD37AD97",1)</v>
      </c>
      <c r="AA5" s="10" t="s">
        <v>1431</v>
      </c>
      <c r="AB5" s="10" t="s">
        <v>1441</v>
      </c>
      <c r="AC5" s="10"/>
    </row>
    <row r="6" s="2" customFormat="1" ht="60" hidden="1" spans="1:29">
      <c r="A6" s="10" t="s">
        <v>1426</v>
      </c>
      <c r="B6" s="11" t="s">
        <v>1427</v>
      </c>
      <c r="C6" s="10" t="s">
        <v>210</v>
      </c>
      <c r="D6" s="10" t="s">
        <v>210</v>
      </c>
      <c r="E6" s="12"/>
      <c r="F6" s="13"/>
      <c r="G6" s="13"/>
      <c r="H6" s="15"/>
      <c r="I6" s="10"/>
      <c r="J6" s="10"/>
      <c r="K6" s="10"/>
      <c r="L6" s="10"/>
      <c r="M6" s="10"/>
      <c r="N6" s="10"/>
      <c r="O6" s="10"/>
      <c r="P6" s="10"/>
      <c r="Q6" s="10"/>
      <c r="R6" s="10"/>
      <c r="S6" s="10" t="s">
        <v>1442</v>
      </c>
      <c r="T6" s="10" t="s">
        <v>68</v>
      </c>
      <c r="U6" s="28" t="s">
        <v>1443</v>
      </c>
      <c r="V6" s="28" t="s">
        <v>210</v>
      </c>
      <c r="W6" s="23"/>
      <c r="X6" s="10" t="s">
        <v>1442</v>
      </c>
      <c r="Y6" s="10" t="s">
        <v>68</v>
      </c>
      <c r="Z6" s="10" t="str">
        <f>_xlfn.DISPIMG("ID_E1900A947715469287B07357B2CE859B",1)</f>
        <v>=DISPIMG("ID_E1900A947715469287B07357B2CE859B",1)</v>
      </c>
      <c r="AA6" s="10" t="s">
        <v>1431</v>
      </c>
      <c r="AB6" s="10" t="s">
        <v>1444</v>
      </c>
      <c r="AC6" s="10"/>
    </row>
    <row r="7" s="2" customFormat="1" ht="82.5" hidden="1" spans="1:29">
      <c r="A7" s="10" t="s">
        <v>1426</v>
      </c>
      <c r="B7" s="11" t="s">
        <v>1427</v>
      </c>
      <c r="C7" s="10" t="s">
        <v>210</v>
      </c>
      <c r="D7" s="10" t="s">
        <v>210</v>
      </c>
      <c r="E7" s="12"/>
      <c r="F7" s="13"/>
      <c r="G7" s="13"/>
      <c r="H7" s="15"/>
      <c r="I7" s="10"/>
      <c r="J7" s="10"/>
      <c r="K7" s="10"/>
      <c r="L7" s="10"/>
      <c r="M7" s="10"/>
      <c r="N7" s="10"/>
      <c r="O7" s="10"/>
      <c r="P7" s="10"/>
      <c r="Q7" s="10"/>
      <c r="R7" s="10"/>
      <c r="S7" s="10" t="s">
        <v>1445</v>
      </c>
      <c r="T7" s="10" t="s">
        <v>68</v>
      </c>
      <c r="U7" s="28" t="s">
        <v>1446</v>
      </c>
      <c r="V7" s="28" t="s">
        <v>210</v>
      </c>
      <c r="W7" s="23"/>
      <c r="X7" s="10" t="s">
        <v>1445</v>
      </c>
      <c r="Y7" s="10" t="s">
        <v>68</v>
      </c>
      <c r="Z7" s="10" t="str">
        <f>_xlfn.DISPIMG("ID_E47B2841793A4F54846F87E45DB2E729",1)</f>
        <v>=DISPIMG("ID_E47B2841793A4F54846F87E45DB2E729",1)</v>
      </c>
      <c r="AA7" s="10" t="s">
        <v>1431</v>
      </c>
      <c r="AB7" s="10" t="s">
        <v>1447</v>
      </c>
      <c r="AC7" s="10"/>
    </row>
    <row r="8" s="2" customFormat="1" ht="132" hidden="1" spans="1:29">
      <c r="A8" s="10" t="s">
        <v>1426</v>
      </c>
      <c r="B8" s="11" t="s">
        <v>1427</v>
      </c>
      <c r="C8" s="10" t="s">
        <v>210</v>
      </c>
      <c r="D8" s="10" t="s">
        <v>210</v>
      </c>
      <c r="E8" s="12"/>
      <c r="F8" s="13"/>
      <c r="G8" s="13"/>
      <c r="H8" s="16"/>
      <c r="I8" s="10"/>
      <c r="J8" s="10"/>
      <c r="K8" s="10"/>
      <c r="L8" s="10"/>
      <c r="M8" s="10"/>
      <c r="N8" s="10"/>
      <c r="O8" s="10"/>
      <c r="P8" s="10"/>
      <c r="Q8" s="10"/>
      <c r="R8" s="10"/>
      <c r="S8" s="10" t="s">
        <v>1448</v>
      </c>
      <c r="T8" s="10" t="s">
        <v>68</v>
      </c>
      <c r="U8" s="28" t="s">
        <v>1446</v>
      </c>
      <c r="V8" s="28" t="s">
        <v>210</v>
      </c>
      <c r="W8" s="23"/>
      <c r="X8" s="10" t="s">
        <v>1448</v>
      </c>
      <c r="Y8" s="10" t="s">
        <v>68</v>
      </c>
      <c r="Z8" s="10" t="str">
        <f>_xlfn.DISPIMG("ID_B34587D33B7E41E4857861CCB2243062",1)</f>
        <v>=DISPIMG("ID_B34587D33B7E41E4857861CCB2243062",1)</v>
      </c>
      <c r="AA8" s="10" t="s">
        <v>1431</v>
      </c>
      <c r="AB8" s="10" t="s">
        <v>1449</v>
      </c>
      <c r="AC8" s="10"/>
    </row>
    <row r="9" s="2" customFormat="1" ht="60" hidden="1" spans="1:29">
      <c r="A9" s="10" t="s">
        <v>1426</v>
      </c>
      <c r="B9" s="11" t="s">
        <v>1427</v>
      </c>
      <c r="C9" s="10" t="s">
        <v>1450</v>
      </c>
      <c r="D9" s="10" t="s">
        <v>1450</v>
      </c>
      <c r="E9" s="12"/>
      <c r="F9" s="13"/>
      <c r="G9" s="13"/>
      <c r="H9" s="14" t="s">
        <v>1450</v>
      </c>
      <c r="I9" s="10"/>
      <c r="J9" s="10"/>
      <c r="K9" s="10"/>
      <c r="L9" s="10"/>
      <c r="M9" s="10"/>
      <c r="N9" s="10"/>
      <c r="O9" s="10"/>
      <c r="P9" s="10"/>
      <c r="Q9" s="10"/>
      <c r="R9" s="10"/>
      <c r="S9" s="10" t="s">
        <v>1451</v>
      </c>
      <c r="T9" s="10" t="s">
        <v>68</v>
      </c>
      <c r="U9" s="28" t="s">
        <v>1452</v>
      </c>
      <c r="V9" s="28" t="s">
        <v>269</v>
      </c>
      <c r="W9" s="23"/>
      <c r="X9" s="10" t="s">
        <v>1451</v>
      </c>
      <c r="Y9" s="10" t="s">
        <v>68</v>
      </c>
      <c r="Z9" s="10" t="str">
        <f>_xlfn.DISPIMG("ID_9EC67ACD11A8407EAF95ADCF0291D3F7",1)</f>
        <v>=DISPIMG("ID_9EC67ACD11A8407EAF95ADCF0291D3F7",1)</v>
      </c>
      <c r="AA9" s="10" t="s">
        <v>1431</v>
      </c>
      <c r="AB9" s="10" t="s">
        <v>1453</v>
      </c>
      <c r="AC9" s="10"/>
    </row>
    <row r="10" s="2" customFormat="1" ht="148.5" hidden="1" spans="1:29">
      <c r="A10" s="10" t="s">
        <v>1426</v>
      </c>
      <c r="B10" s="11" t="s">
        <v>1427</v>
      </c>
      <c r="C10" s="10" t="s">
        <v>1450</v>
      </c>
      <c r="D10" s="10" t="s">
        <v>1450</v>
      </c>
      <c r="E10" s="12"/>
      <c r="F10" s="13"/>
      <c r="G10" s="13"/>
      <c r="H10" s="16"/>
      <c r="I10" s="10"/>
      <c r="J10" s="10"/>
      <c r="K10" s="10"/>
      <c r="L10" s="10"/>
      <c r="M10" s="10"/>
      <c r="N10" s="10"/>
      <c r="O10" s="10"/>
      <c r="P10" s="10"/>
      <c r="Q10" s="10"/>
      <c r="R10" s="10"/>
      <c r="S10" s="10" t="s">
        <v>1454</v>
      </c>
      <c r="T10" s="10" t="s">
        <v>68</v>
      </c>
      <c r="U10" s="28" t="s">
        <v>1455</v>
      </c>
      <c r="V10" s="28" t="s">
        <v>269</v>
      </c>
      <c r="W10" s="23"/>
      <c r="X10" s="10" t="s">
        <v>1454</v>
      </c>
      <c r="Y10" s="10" t="s">
        <v>68</v>
      </c>
      <c r="Z10" s="10" t="str">
        <f>_xlfn.DISPIMG("ID_C36844894E244F7F9314CFBD0BDF8608",1)</f>
        <v>=DISPIMG("ID_C36844894E244F7F9314CFBD0BDF8608",1)</v>
      </c>
      <c r="AA10" s="10" t="s">
        <v>1431</v>
      </c>
      <c r="AB10" s="10" t="s">
        <v>1456</v>
      </c>
      <c r="AC10" s="10"/>
    </row>
    <row r="11" s="2" customFormat="1" ht="66" hidden="1" spans="1:29">
      <c r="A11" s="10" t="s">
        <v>1426</v>
      </c>
      <c r="B11" s="11" t="s">
        <v>1457</v>
      </c>
      <c r="C11" s="10" t="s">
        <v>1458</v>
      </c>
      <c r="D11" s="10" t="s">
        <v>1458</v>
      </c>
      <c r="E11" s="12"/>
      <c r="F11" s="13"/>
      <c r="G11" s="13"/>
      <c r="H11" s="10" t="s">
        <v>1458</v>
      </c>
      <c r="I11" s="10"/>
      <c r="J11" s="10"/>
      <c r="K11" s="10"/>
      <c r="L11" s="10"/>
      <c r="M11" s="10"/>
      <c r="N11" s="10"/>
      <c r="O11" s="10"/>
      <c r="P11" s="10"/>
      <c r="Q11" s="10"/>
      <c r="R11" s="10"/>
      <c r="S11" s="10" t="s">
        <v>1459</v>
      </c>
      <c r="T11" s="10" t="s">
        <v>68</v>
      </c>
      <c r="U11" s="28" t="s">
        <v>1460</v>
      </c>
      <c r="V11" s="28" t="s">
        <v>1461</v>
      </c>
      <c r="W11" s="23"/>
      <c r="X11" s="10" t="s">
        <v>1459</v>
      </c>
      <c r="Y11" s="10" t="s">
        <v>68</v>
      </c>
      <c r="Z11" s="10" t="str">
        <f>_xlfn.DISPIMG("ID_F6AC47E2DD41443D9B5E93FD03424A5A",1)</f>
        <v>=DISPIMG("ID_F6AC47E2DD41443D9B5E93FD03424A5A",1)</v>
      </c>
      <c r="AA11" s="10" t="s">
        <v>1431</v>
      </c>
      <c r="AB11" s="10" t="s">
        <v>1462</v>
      </c>
      <c r="AC11" s="10"/>
    </row>
    <row r="12" s="2" customFormat="1" ht="115.5" hidden="1" spans="1:29">
      <c r="A12" s="10" t="s">
        <v>1426</v>
      </c>
      <c r="B12" s="11" t="s">
        <v>1457</v>
      </c>
      <c r="C12" s="10" t="s">
        <v>1463</v>
      </c>
      <c r="D12" s="10" t="s">
        <v>1463</v>
      </c>
      <c r="E12" s="12"/>
      <c r="F12" s="13"/>
      <c r="G12" s="13"/>
      <c r="H12" s="14" t="s">
        <v>1463</v>
      </c>
      <c r="I12" s="10"/>
      <c r="J12" s="10"/>
      <c r="K12" s="10"/>
      <c r="L12" s="10"/>
      <c r="M12" s="10"/>
      <c r="N12" s="10"/>
      <c r="O12" s="10"/>
      <c r="P12" s="10"/>
      <c r="Q12" s="10"/>
      <c r="R12" s="10"/>
      <c r="S12" s="10" t="s">
        <v>1464</v>
      </c>
      <c r="T12" s="10" t="s">
        <v>68</v>
      </c>
      <c r="U12" s="28" t="s">
        <v>1465</v>
      </c>
      <c r="V12" s="28" t="s">
        <v>1461</v>
      </c>
      <c r="W12" s="23"/>
      <c r="X12" s="10" t="s">
        <v>1464</v>
      </c>
      <c r="Y12" s="10" t="s">
        <v>68</v>
      </c>
      <c r="Z12" s="10" t="str">
        <f>_xlfn.DISPIMG("ID_EC2B0E053A1D43A4BC81F585186C4781",1)</f>
        <v>=DISPIMG("ID_EC2B0E053A1D43A4BC81F585186C4781",1)</v>
      </c>
      <c r="AA12" s="10" t="s">
        <v>1431</v>
      </c>
      <c r="AB12" s="10" t="s">
        <v>1466</v>
      </c>
      <c r="AC12" s="10"/>
    </row>
    <row r="13" s="2" customFormat="1" ht="99" hidden="1" spans="1:29">
      <c r="A13" s="10" t="s">
        <v>1426</v>
      </c>
      <c r="B13" s="11" t="s">
        <v>1457</v>
      </c>
      <c r="C13" s="10" t="s">
        <v>1463</v>
      </c>
      <c r="D13" s="10" t="s">
        <v>1463</v>
      </c>
      <c r="E13" s="12"/>
      <c r="F13" s="13"/>
      <c r="G13" s="13"/>
      <c r="H13" s="15"/>
      <c r="I13" s="10"/>
      <c r="J13" s="10"/>
      <c r="K13" s="10"/>
      <c r="L13" s="10"/>
      <c r="M13" s="10"/>
      <c r="N13" s="10"/>
      <c r="O13" s="10"/>
      <c r="P13" s="10"/>
      <c r="Q13" s="10"/>
      <c r="R13" s="10"/>
      <c r="S13" s="10" t="s">
        <v>1467</v>
      </c>
      <c r="T13" s="10" t="s">
        <v>68</v>
      </c>
      <c r="U13" s="28" t="s">
        <v>1468</v>
      </c>
      <c r="V13" s="28" t="s">
        <v>1461</v>
      </c>
      <c r="W13" s="23"/>
      <c r="X13" s="10" t="s">
        <v>1467</v>
      </c>
      <c r="Y13" s="10" t="s">
        <v>68</v>
      </c>
      <c r="Z13" s="10" t="str">
        <f>_xlfn.DISPIMG("ID_6317C1A92A824604B378521DCF08DF78",1)</f>
        <v>=DISPIMG("ID_6317C1A92A824604B378521DCF08DF78",1)</v>
      </c>
      <c r="AA13" s="10" t="s">
        <v>1431</v>
      </c>
      <c r="AB13" s="10" t="s">
        <v>1469</v>
      </c>
      <c r="AC13" s="10"/>
    </row>
    <row r="14" s="2" customFormat="1" ht="99" hidden="1" spans="1:29">
      <c r="A14" s="10" t="s">
        <v>1426</v>
      </c>
      <c r="B14" s="11" t="s">
        <v>1457</v>
      </c>
      <c r="C14" s="10" t="s">
        <v>1463</v>
      </c>
      <c r="D14" s="10" t="s">
        <v>1463</v>
      </c>
      <c r="E14" s="12"/>
      <c r="F14" s="13"/>
      <c r="G14" s="13"/>
      <c r="H14" s="15"/>
      <c r="I14" s="10"/>
      <c r="J14" s="10"/>
      <c r="K14" s="10"/>
      <c r="L14" s="10"/>
      <c r="M14" s="10"/>
      <c r="N14" s="10"/>
      <c r="O14" s="10"/>
      <c r="P14" s="10"/>
      <c r="Q14" s="10"/>
      <c r="R14" s="10"/>
      <c r="S14" s="10" t="s">
        <v>1470</v>
      </c>
      <c r="T14" s="10" t="s">
        <v>68</v>
      </c>
      <c r="U14" s="28" t="s">
        <v>1471</v>
      </c>
      <c r="V14" s="28" t="s">
        <v>1461</v>
      </c>
      <c r="W14" s="23"/>
      <c r="X14" s="10" t="s">
        <v>1470</v>
      </c>
      <c r="Y14" s="10" t="s">
        <v>68</v>
      </c>
      <c r="Z14" s="10" t="str">
        <f>_xlfn.DISPIMG("ID_309D1AC5632E45258DD33AE062822D2C",1)</f>
        <v>=DISPIMG("ID_309D1AC5632E45258DD33AE062822D2C",1)</v>
      </c>
      <c r="AA14" s="10" t="s">
        <v>1431</v>
      </c>
      <c r="AB14" s="10" t="s">
        <v>1472</v>
      </c>
      <c r="AC14" s="10"/>
    </row>
    <row r="15" s="2" customFormat="1" ht="198" hidden="1" spans="1:29">
      <c r="A15" s="10" t="s">
        <v>1426</v>
      </c>
      <c r="B15" s="11" t="s">
        <v>1457</v>
      </c>
      <c r="C15" s="10" t="s">
        <v>1463</v>
      </c>
      <c r="D15" s="10" t="s">
        <v>1463</v>
      </c>
      <c r="E15" s="12"/>
      <c r="F15" s="13"/>
      <c r="G15" s="13"/>
      <c r="H15" s="15"/>
      <c r="I15" s="10"/>
      <c r="J15" s="10"/>
      <c r="K15" s="10"/>
      <c r="L15" s="10"/>
      <c r="M15" s="10"/>
      <c r="N15" s="10"/>
      <c r="O15" s="10"/>
      <c r="P15" s="10"/>
      <c r="Q15" s="10"/>
      <c r="R15" s="10"/>
      <c r="S15" s="10" t="s">
        <v>1473</v>
      </c>
      <c r="T15" s="10" t="s">
        <v>68</v>
      </c>
      <c r="U15" s="28" t="s">
        <v>1474</v>
      </c>
      <c r="V15" s="28" t="s">
        <v>1461</v>
      </c>
      <c r="W15" s="23"/>
      <c r="X15" s="10" t="s">
        <v>1473</v>
      </c>
      <c r="Y15" s="10" t="s">
        <v>68</v>
      </c>
      <c r="Z15" s="10" t="str">
        <f>_xlfn.DISPIMG("ID_DDD7CDAB453B4A24B55B6D0748B56C23",1)</f>
        <v>=DISPIMG("ID_DDD7CDAB453B4A24B55B6D0748B56C23",1)</v>
      </c>
      <c r="AA15" s="10" t="s">
        <v>1431</v>
      </c>
      <c r="AB15" s="10" t="s">
        <v>1475</v>
      </c>
      <c r="AC15" s="10"/>
    </row>
    <row r="16" s="2" customFormat="1" ht="90" hidden="1" spans="1:29">
      <c r="A16" s="10" t="s">
        <v>1426</v>
      </c>
      <c r="B16" s="11" t="s">
        <v>1457</v>
      </c>
      <c r="C16" s="10" t="s">
        <v>1463</v>
      </c>
      <c r="D16" s="10" t="s">
        <v>1463</v>
      </c>
      <c r="E16" s="12"/>
      <c r="F16" s="13"/>
      <c r="G16" s="13"/>
      <c r="H16" s="15"/>
      <c r="I16" s="10"/>
      <c r="J16" s="10"/>
      <c r="K16" s="10"/>
      <c r="L16" s="10"/>
      <c r="M16" s="10"/>
      <c r="N16" s="10"/>
      <c r="O16" s="10"/>
      <c r="P16" s="10"/>
      <c r="Q16" s="10"/>
      <c r="R16" s="10"/>
      <c r="S16" s="10" t="s">
        <v>1476</v>
      </c>
      <c r="T16" s="10" t="s">
        <v>68</v>
      </c>
      <c r="U16" s="28" t="s">
        <v>1477</v>
      </c>
      <c r="V16" s="28" t="s">
        <v>1461</v>
      </c>
      <c r="W16" s="23"/>
      <c r="X16" s="10" t="s">
        <v>1476</v>
      </c>
      <c r="Y16" s="10" t="s">
        <v>68</v>
      </c>
      <c r="Z16" s="10" t="str">
        <f>_xlfn.DISPIMG("ID_391A41FD7C384053A719DC693A02D79B",1)</f>
        <v>=DISPIMG("ID_391A41FD7C384053A719DC693A02D79B",1)</v>
      </c>
      <c r="AA16" s="10" t="s">
        <v>1431</v>
      </c>
      <c r="AB16" s="10" t="s">
        <v>1478</v>
      </c>
      <c r="AC16" s="10"/>
    </row>
    <row r="17" s="2" customFormat="1" ht="231" hidden="1" spans="1:29">
      <c r="A17" s="10" t="s">
        <v>1426</v>
      </c>
      <c r="B17" s="11" t="s">
        <v>1457</v>
      </c>
      <c r="C17" s="10" t="s">
        <v>1463</v>
      </c>
      <c r="D17" s="10" t="s">
        <v>1463</v>
      </c>
      <c r="E17" s="12"/>
      <c r="F17" s="13"/>
      <c r="G17" s="13"/>
      <c r="H17" s="15"/>
      <c r="I17" s="10"/>
      <c r="J17" s="10"/>
      <c r="K17" s="10"/>
      <c r="L17" s="10"/>
      <c r="M17" s="10"/>
      <c r="N17" s="10"/>
      <c r="O17" s="10"/>
      <c r="P17" s="10"/>
      <c r="Q17" s="10"/>
      <c r="R17" s="10"/>
      <c r="S17" s="10" t="s">
        <v>1479</v>
      </c>
      <c r="T17" s="10" t="s">
        <v>68</v>
      </c>
      <c r="U17" s="28" t="s">
        <v>1480</v>
      </c>
      <c r="V17" s="28" t="s">
        <v>1461</v>
      </c>
      <c r="W17" s="23"/>
      <c r="X17" s="10" t="s">
        <v>1479</v>
      </c>
      <c r="Y17" s="10" t="s">
        <v>68</v>
      </c>
      <c r="Z17" s="10" t="str">
        <f>_xlfn.DISPIMG("ID_00448BFB47A34D0BB873785034F871E4",1)</f>
        <v>=DISPIMG("ID_00448BFB47A34D0BB873785034F871E4",1)</v>
      </c>
      <c r="AA17" s="10" t="s">
        <v>1431</v>
      </c>
      <c r="AB17" s="10" t="s">
        <v>1481</v>
      </c>
      <c r="AC17" s="10"/>
    </row>
    <row r="18" s="2" customFormat="1" ht="214.5" hidden="1" spans="1:29">
      <c r="A18" s="10" t="s">
        <v>1426</v>
      </c>
      <c r="B18" s="11" t="s">
        <v>1457</v>
      </c>
      <c r="C18" s="10" t="s">
        <v>1463</v>
      </c>
      <c r="D18" s="10" t="s">
        <v>1463</v>
      </c>
      <c r="E18" s="12"/>
      <c r="F18" s="13"/>
      <c r="G18" s="13"/>
      <c r="H18" s="15"/>
      <c r="I18" s="10"/>
      <c r="J18" s="10"/>
      <c r="K18" s="10"/>
      <c r="L18" s="10"/>
      <c r="M18" s="10"/>
      <c r="N18" s="10"/>
      <c r="O18" s="10"/>
      <c r="P18" s="10"/>
      <c r="Q18" s="10"/>
      <c r="R18" s="10"/>
      <c r="S18" s="10" t="s">
        <v>1482</v>
      </c>
      <c r="T18" s="10" t="s">
        <v>68</v>
      </c>
      <c r="U18" s="28" t="s">
        <v>1483</v>
      </c>
      <c r="V18" s="28" t="s">
        <v>1461</v>
      </c>
      <c r="W18" s="23"/>
      <c r="X18" s="10" t="s">
        <v>1482</v>
      </c>
      <c r="Y18" s="10" t="s">
        <v>68</v>
      </c>
      <c r="Z18" s="10" t="str">
        <f>_xlfn.DISPIMG("ID_F101F530DB1644A895AC38562B407956",1)</f>
        <v>=DISPIMG("ID_F101F530DB1644A895AC38562B407956",1)</v>
      </c>
      <c r="AA18" s="10" t="s">
        <v>1431</v>
      </c>
      <c r="AB18" s="10" t="s">
        <v>1484</v>
      </c>
      <c r="AC18" s="10"/>
    </row>
    <row r="19" s="2" customFormat="1" ht="181.5" hidden="1" spans="1:29">
      <c r="A19" s="10" t="s">
        <v>1426</v>
      </c>
      <c r="B19" s="11" t="s">
        <v>1457</v>
      </c>
      <c r="C19" s="10" t="s">
        <v>1463</v>
      </c>
      <c r="D19" s="10" t="s">
        <v>1463</v>
      </c>
      <c r="E19" s="12"/>
      <c r="F19" s="13"/>
      <c r="G19" s="13"/>
      <c r="H19" s="15"/>
      <c r="I19" s="10"/>
      <c r="J19" s="10"/>
      <c r="K19" s="10"/>
      <c r="L19" s="10"/>
      <c r="M19" s="10"/>
      <c r="N19" s="10"/>
      <c r="O19" s="10"/>
      <c r="P19" s="10"/>
      <c r="Q19" s="10"/>
      <c r="R19" s="10"/>
      <c r="S19" s="10" t="s">
        <v>1485</v>
      </c>
      <c r="T19" s="10" t="s">
        <v>68</v>
      </c>
      <c r="U19" s="28" t="s">
        <v>1486</v>
      </c>
      <c r="V19" s="28" t="s">
        <v>1461</v>
      </c>
      <c r="W19" s="23"/>
      <c r="X19" s="10" t="s">
        <v>1485</v>
      </c>
      <c r="Y19" s="10" t="s">
        <v>68</v>
      </c>
      <c r="Z19" s="10" t="str">
        <f>_xlfn.DISPIMG("ID_53AA1187804E426F94428E8B10B629EF",1)</f>
        <v>=DISPIMG("ID_53AA1187804E426F94428E8B10B629EF",1)</v>
      </c>
      <c r="AA19" s="10" t="s">
        <v>1431</v>
      </c>
      <c r="AB19" s="10" t="s">
        <v>1487</v>
      </c>
      <c r="AC19" s="10"/>
    </row>
    <row r="20" s="2" customFormat="1" ht="247.5" hidden="1" spans="1:29">
      <c r="A20" s="10" t="s">
        <v>1426</v>
      </c>
      <c r="B20" s="11" t="s">
        <v>1457</v>
      </c>
      <c r="C20" s="10" t="s">
        <v>1463</v>
      </c>
      <c r="D20" s="10" t="s">
        <v>1463</v>
      </c>
      <c r="E20" s="12"/>
      <c r="F20" s="13"/>
      <c r="G20" s="13"/>
      <c r="H20" s="15"/>
      <c r="I20" s="10"/>
      <c r="J20" s="10"/>
      <c r="K20" s="10"/>
      <c r="L20" s="10"/>
      <c r="M20" s="10"/>
      <c r="N20" s="10"/>
      <c r="O20" s="10"/>
      <c r="P20" s="10"/>
      <c r="Q20" s="10"/>
      <c r="R20" s="10"/>
      <c r="S20" s="10" t="s">
        <v>1488</v>
      </c>
      <c r="T20" s="10" t="s">
        <v>68</v>
      </c>
      <c r="U20" s="28" t="s">
        <v>1489</v>
      </c>
      <c r="V20" s="28" t="s">
        <v>1461</v>
      </c>
      <c r="W20" s="23"/>
      <c r="X20" s="10" t="s">
        <v>1488</v>
      </c>
      <c r="Y20" s="10" t="s">
        <v>68</v>
      </c>
      <c r="Z20" s="10" t="str">
        <f>_xlfn.DISPIMG("ID_1C061D1379DF4466963853BFE948013B",1)</f>
        <v>=DISPIMG("ID_1C061D1379DF4466963853BFE948013B",1)</v>
      </c>
      <c r="AA20" s="10" t="s">
        <v>1431</v>
      </c>
      <c r="AB20" s="10" t="s">
        <v>1490</v>
      </c>
      <c r="AC20" s="10"/>
    </row>
    <row r="21" s="2" customFormat="1" ht="115.5" hidden="1" spans="1:29">
      <c r="A21" s="10" t="s">
        <v>1426</v>
      </c>
      <c r="B21" s="11" t="s">
        <v>1457</v>
      </c>
      <c r="C21" s="10" t="s">
        <v>1463</v>
      </c>
      <c r="D21" s="10" t="s">
        <v>1463</v>
      </c>
      <c r="E21" s="12"/>
      <c r="F21" s="13"/>
      <c r="G21" s="13"/>
      <c r="H21" s="15"/>
      <c r="I21" s="10"/>
      <c r="J21" s="10"/>
      <c r="K21" s="10"/>
      <c r="L21" s="10"/>
      <c r="M21" s="10"/>
      <c r="N21" s="10"/>
      <c r="O21" s="10"/>
      <c r="P21" s="10"/>
      <c r="Q21" s="10"/>
      <c r="R21" s="10"/>
      <c r="S21" s="10" t="s">
        <v>1491</v>
      </c>
      <c r="T21" s="10" t="s">
        <v>68</v>
      </c>
      <c r="U21" s="28" t="s">
        <v>1492</v>
      </c>
      <c r="V21" s="28" t="s">
        <v>1461</v>
      </c>
      <c r="W21" s="23"/>
      <c r="X21" s="10" t="s">
        <v>1491</v>
      </c>
      <c r="Y21" s="10" t="s">
        <v>68</v>
      </c>
      <c r="Z21" s="10" t="str">
        <f>_xlfn.DISPIMG("ID_5EEC826222D24D42A046E5F794587719",1)</f>
        <v>=DISPIMG("ID_5EEC826222D24D42A046E5F794587719",1)</v>
      </c>
      <c r="AA21" s="10" t="s">
        <v>1431</v>
      </c>
      <c r="AB21" s="10" t="s">
        <v>1493</v>
      </c>
      <c r="AC21" s="10"/>
    </row>
    <row r="22" s="2" customFormat="1" ht="231" hidden="1" spans="1:29">
      <c r="A22" s="10" t="s">
        <v>1426</v>
      </c>
      <c r="B22" s="11" t="s">
        <v>1457</v>
      </c>
      <c r="C22" s="10" t="s">
        <v>1463</v>
      </c>
      <c r="D22" s="10" t="s">
        <v>1463</v>
      </c>
      <c r="E22" s="12"/>
      <c r="F22" s="13"/>
      <c r="G22" s="13"/>
      <c r="H22" s="15"/>
      <c r="I22" s="10"/>
      <c r="J22" s="10"/>
      <c r="K22" s="10"/>
      <c r="L22" s="10"/>
      <c r="M22" s="10"/>
      <c r="N22" s="10"/>
      <c r="O22" s="10"/>
      <c r="P22" s="10"/>
      <c r="Q22" s="10"/>
      <c r="R22" s="10"/>
      <c r="S22" s="10" t="s">
        <v>1494</v>
      </c>
      <c r="T22" s="10" t="s">
        <v>68</v>
      </c>
      <c r="U22" s="28" t="s">
        <v>1495</v>
      </c>
      <c r="V22" s="28" t="s">
        <v>1461</v>
      </c>
      <c r="W22" s="23"/>
      <c r="X22" s="10" t="s">
        <v>1494</v>
      </c>
      <c r="Y22" s="10" t="s">
        <v>68</v>
      </c>
      <c r="Z22" s="10" t="str">
        <f>_xlfn.DISPIMG("ID_7F80FEB075574E95A5560F911F6566E1",1)</f>
        <v>=DISPIMG("ID_7F80FEB075574E95A5560F911F6566E1",1)</v>
      </c>
      <c r="AA22" s="10" t="s">
        <v>1431</v>
      </c>
      <c r="AB22" s="10" t="s">
        <v>1496</v>
      </c>
      <c r="AC22" s="10"/>
    </row>
    <row r="23" s="2" customFormat="1" ht="231" hidden="1" spans="1:29">
      <c r="A23" s="10" t="s">
        <v>1426</v>
      </c>
      <c r="B23" s="11" t="s">
        <v>1457</v>
      </c>
      <c r="C23" s="10" t="s">
        <v>1463</v>
      </c>
      <c r="D23" s="10" t="s">
        <v>1463</v>
      </c>
      <c r="E23" s="12"/>
      <c r="F23" s="13"/>
      <c r="G23" s="13"/>
      <c r="H23" s="15"/>
      <c r="I23" s="10"/>
      <c r="J23" s="10"/>
      <c r="K23" s="10"/>
      <c r="L23" s="10"/>
      <c r="M23" s="10"/>
      <c r="N23" s="10"/>
      <c r="O23" s="10"/>
      <c r="P23" s="10"/>
      <c r="Q23" s="10"/>
      <c r="R23" s="10"/>
      <c r="S23" s="10" t="s">
        <v>1497</v>
      </c>
      <c r="T23" s="10" t="s">
        <v>68</v>
      </c>
      <c r="U23" s="28" t="s">
        <v>1495</v>
      </c>
      <c r="V23" s="28" t="s">
        <v>1461</v>
      </c>
      <c r="W23" s="23"/>
      <c r="X23" s="10" t="s">
        <v>1497</v>
      </c>
      <c r="Y23" s="10" t="s">
        <v>68</v>
      </c>
      <c r="Z23" s="10" t="str">
        <f>_xlfn.DISPIMG("ID_45644359776C48098B720D778B5FB3AC",1)</f>
        <v>=DISPIMG("ID_45644359776C48098B720D778B5FB3AC",1)</v>
      </c>
      <c r="AA23" s="10" t="s">
        <v>1431</v>
      </c>
      <c r="AB23" s="10" t="s">
        <v>1498</v>
      </c>
      <c r="AC23" s="10"/>
    </row>
    <row r="24" s="2" customFormat="1" ht="247.5" hidden="1" spans="1:29">
      <c r="A24" s="10" t="s">
        <v>1426</v>
      </c>
      <c r="B24" s="11" t="s">
        <v>1457</v>
      </c>
      <c r="C24" s="10" t="s">
        <v>1463</v>
      </c>
      <c r="D24" s="10" t="s">
        <v>1463</v>
      </c>
      <c r="E24" s="12"/>
      <c r="F24" s="13"/>
      <c r="G24" s="13"/>
      <c r="H24" s="15"/>
      <c r="I24" s="10"/>
      <c r="J24" s="10"/>
      <c r="K24" s="10"/>
      <c r="L24" s="10"/>
      <c r="M24" s="10"/>
      <c r="N24" s="10"/>
      <c r="O24" s="10"/>
      <c r="P24" s="10"/>
      <c r="Q24" s="10"/>
      <c r="R24" s="10"/>
      <c r="S24" s="10" t="s">
        <v>1499</v>
      </c>
      <c r="T24" s="10" t="s">
        <v>68</v>
      </c>
      <c r="U24" s="28" t="s">
        <v>1500</v>
      </c>
      <c r="V24" s="28" t="s">
        <v>1461</v>
      </c>
      <c r="W24" s="23"/>
      <c r="X24" s="10" t="s">
        <v>1499</v>
      </c>
      <c r="Y24" s="10" t="s">
        <v>68</v>
      </c>
      <c r="Z24" s="10" t="str">
        <f>_xlfn.DISPIMG("ID_C8052B1EB70046998C41FBC3762274AD",1)</f>
        <v>=DISPIMG("ID_C8052B1EB70046998C41FBC3762274AD",1)</v>
      </c>
      <c r="AA24" s="10" t="s">
        <v>1431</v>
      </c>
      <c r="AB24" s="10" t="s">
        <v>1501</v>
      </c>
      <c r="AC24" s="10"/>
    </row>
    <row r="25" s="2" customFormat="1" ht="247.5" hidden="1" spans="1:29">
      <c r="A25" s="10" t="s">
        <v>1426</v>
      </c>
      <c r="B25" s="11" t="s">
        <v>1457</v>
      </c>
      <c r="C25" s="10" t="s">
        <v>1463</v>
      </c>
      <c r="D25" s="10" t="s">
        <v>1463</v>
      </c>
      <c r="E25" s="12"/>
      <c r="F25" s="13"/>
      <c r="G25" s="13"/>
      <c r="H25" s="15"/>
      <c r="I25" s="10"/>
      <c r="J25" s="10"/>
      <c r="K25" s="10"/>
      <c r="L25" s="10"/>
      <c r="M25" s="10"/>
      <c r="N25" s="10"/>
      <c r="O25" s="10"/>
      <c r="P25" s="10"/>
      <c r="Q25" s="10"/>
      <c r="R25" s="10"/>
      <c r="S25" s="10" t="s">
        <v>1502</v>
      </c>
      <c r="T25" s="10" t="s">
        <v>68</v>
      </c>
      <c r="U25" s="28" t="s">
        <v>1503</v>
      </c>
      <c r="V25" s="28" t="s">
        <v>1461</v>
      </c>
      <c r="W25" s="23"/>
      <c r="X25" s="10" t="s">
        <v>1502</v>
      </c>
      <c r="Y25" s="10" t="s">
        <v>68</v>
      </c>
      <c r="Z25" s="10" t="str">
        <f>_xlfn.DISPIMG("ID_A14FB0EC3ABF431480DEC1295BBAC34F",1)</f>
        <v>=DISPIMG("ID_A14FB0EC3ABF431480DEC1295BBAC34F",1)</v>
      </c>
      <c r="AA25" s="10" t="s">
        <v>1431</v>
      </c>
      <c r="AB25" s="10" t="s">
        <v>1504</v>
      </c>
      <c r="AC25" s="10"/>
    </row>
    <row r="26" s="2" customFormat="1" ht="264" hidden="1" spans="1:29">
      <c r="A26" s="10" t="s">
        <v>1426</v>
      </c>
      <c r="B26" s="11" t="s">
        <v>1457</v>
      </c>
      <c r="C26" s="10" t="s">
        <v>1463</v>
      </c>
      <c r="D26" s="10" t="s">
        <v>1463</v>
      </c>
      <c r="E26" s="12"/>
      <c r="F26" s="13"/>
      <c r="G26" s="13"/>
      <c r="H26" s="16"/>
      <c r="I26" s="10"/>
      <c r="J26" s="10"/>
      <c r="K26" s="10"/>
      <c r="L26" s="10"/>
      <c r="M26" s="10"/>
      <c r="N26" s="10"/>
      <c r="O26" s="10"/>
      <c r="P26" s="10"/>
      <c r="Q26" s="10"/>
      <c r="R26" s="10"/>
      <c r="S26" s="10" t="s">
        <v>1505</v>
      </c>
      <c r="T26" s="10" t="s">
        <v>68</v>
      </c>
      <c r="U26" s="28" t="s">
        <v>1506</v>
      </c>
      <c r="V26" s="28" t="s">
        <v>1461</v>
      </c>
      <c r="W26" s="23"/>
      <c r="X26" s="10" t="s">
        <v>1505</v>
      </c>
      <c r="Y26" s="10" t="s">
        <v>68</v>
      </c>
      <c r="Z26" s="10" t="str">
        <f>_xlfn.DISPIMG("ID_4D68499F85E241F9880F6207A3071F3A",1)</f>
        <v>=DISPIMG("ID_4D68499F85E241F9880F6207A3071F3A",1)</v>
      </c>
      <c r="AA26" s="10" t="s">
        <v>1431</v>
      </c>
      <c r="AB26" s="10" t="s">
        <v>1507</v>
      </c>
      <c r="AC26" s="10"/>
    </row>
    <row r="27" s="2" customFormat="1" ht="60" hidden="1" spans="1:29">
      <c r="A27" s="10" t="s">
        <v>1426</v>
      </c>
      <c r="B27" s="11" t="s">
        <v>1457</v>
      </c>
      <c r="C27" s="10" t="s">
        <v>1508</v>
      </c>
      <c r="D27" s="10" t="s">
        <v>1508</v>
      </c>
      <c r="E27" s="12"/>
      <c r="F27" s="13"/>
      <c r="G27" s="13"/>
      <c r="H27" s="10" t="s">
        <v>1508</v>
      </c>
      <c r="I27" s="10"/>
      <c r="J27" s="10"/>
      <c r="K27" s="10"/>
      <c r="L27" s="10"/>
      <c r="M27" s="10"/>
      <c r="N27" s="10"/>
      <c r="O27" s="10"/>
      <c r="P27" s="10"/>
      <c r="Q27" s="10"/>
      <c r="R27" s="10"/>
      <c r="S27" s="10" t="s">
        <v>1509</v>
      </c>
      <c r="T27" s="10" t="s">
        <v>68</v>
      </c>
      <c r="U27" s="28" t="s">
        <v>1510</v>
      </c>
      <c r="V27" s="28" t="s">
        <v>1461</v>
      </c>
      <c r="W27" s="23"/>
      <c r="X27" s="10" t="s">
        <v>1509</v>
      </c>
      <c r="Y27" s="10" t="s">
        <v>68</v>
      </c>
      <c r="Z27" s="10" t="str">
        <f>_xlfn.DISPIMG("ID_9BF66703E4524740AD45A1C52D71A235",1)</f>
        <v>=DISPIMG("ID_9BF66703E4524740AD45A1C52D71A235",1)</v>
      </c>
      <c r="AA27" s="10" t="s">
        <v>1431</v>
      </c>
      <c r="AB27" s="10" t="s">
        <v>1511</v>
      </c>
      <c r="AC27" s="10"/>
    </row>
    <row r="28" s="2" customFormat="1" ht="82.5" hidden="1" spans="1:29">
      <c r="A28" s="10" t="s">
        <v>1426</v>
      </c>
      <c r="B28" s="11" t="s">
        <v>1457</v>
      </c>
      <c r="C28" s="10" t="s">
        <v>1512</v>
      </c>
      <c r="D28" s="10" t="s">
        <v>1512</v>
      </c>
      <c r="E28" s="12"/>
      <c r="F28" s="13"/>
      <c r="G28" s="13"/>
      <c r="H28" s="10" t="s">
        <v>1512</v>
      </c>
      <c r="I28" s="10"/>
      <c r="J28" s="10"/>
      <c r="K28" s="10"/>
      <c r="L28" s="10"/>
      <c r="M28" s="10"/>
      <c r="N28" s="10"/>
      <c r="O28" s="10"/>
      <c r="P28" s="10"/>
      <c r="Q28" s="10"/>
      <c r="R28" s="10"/>
      <c r="S28" s="10" t="s">
        <v>1513</v>
      </c>
      <c r="T28" s="10" t="s">
        <v>68</v>
      </c>
      <c r="U28" s="28" t="s">
        <v>1514</v>
      </c>
      <c r="V28" s="28" t="s">
        <v>1461</v>
      </c>
      <c r="W28" s="23"/>
      <c r="X28" s="10" t="s">
        <v>1513</v>
      </c>
      <c r="Y28" s="10" t="s">
        <v>68</v>
      </c>
      <c r="Z28" s="10" t="str">
        <f>_xlfn.DISPIMG("ID_9CB0200072BE49ADB8F7062F965EAFA4",1)</f>
        <v>=DISPIMG("ID_9CB0200072BE49ADB8F7062F965EAFA4",1)</v>
      </c>
      <c r="AA28" s="10" t="s">
        <v>1431</v>
      </c>
      <c r="AB28" s="10" t="s">
        <v>1515</v>
      </c>
      <c r="AC28" s="10"/>
    </row>
    <row r="29" s="2" customFormat="1" ht="115.5" hidden="1" spans="1:29">
      <c r="A29" s="10" t="s">
        <v>1426</v>
      </c>
      <c r="B29" s="11" t="s">
        <v>1516</v>
      </c>
      <c r="C29" s="10" t="s">
        <v>1517</v>
      </c>
      <c r="D29" s="10" t="s">
        <v>1518</v>
      </c>
      <c r="E29" s="12"/>
      <c r="F29" s="13"/>
      <c r="G29" s="13"/>
      <c r="H29" s="14" t="s">
        <v>1518</v>
      </c>
      <c r="I29" s="10"/>
      <c r="J29" s="10"/>
      <c r="K29" s="10"/>
      <c r="L29" s="10"/>
      <c r="M29" s="10"/>
      <c r="N29" s="10"/>
      <c r="O29" s="10"/>
      <c r="P29" s="10"/>
      <c r="Q29" s="10"/>
      <c r="R29" s="10"/>
      <c r="S29" s="10" t="s">
        <v>1519</v>
      </c>
      <c r="T29" s="10" t="s">
        <v>68</v>
      </c>
      <c r="U29" s="10" t="s">
        <v>1519</v>
      </c>
      <c r="V29" s="10"/>
      <c r="W29" s="23"/>
      <c r="X29" s="10" t="s">
        <v>1519</v>
      </c>
      <c r="Y29" s="10" t="s">
        <v>68</v>
      </c>
      <c r="Z29" s="10" t="str">
        <f>_xlfn.DISPIMG("ID_D30D41AA65EB488FAFD89E1831B0EE2B",1)</f>
        <v>=DISPIMG("ID_D30D41AA65EB488FAFD89E1831B0EE2B",1)</v>
      </c>
      <c r="AA29" s="10" t="s">
        <v>1431</v>
      </c>
      <c r="AB29" s="10" t="s">
        <v>1520</v>
      </c>
      <c r="AC29" s="10"/>
    </row>
    <row r="30" s="2" customFormat="1" ht="99" hidden="1" spans="1:29">
      <c r="A30" s="10" t="s">
        <v>1426</v>
      </c>
      <c r="B30" s="11" t="s">
        <v>1516</v>
      </c>
      <c r="C30" s="10" t="s">
        <v>1517</v>
      </c>
      <c r="D30" s="10" t="s">
        <v>1518</v>
      </c>
      <c r="E30" s="12"/>
      <c r="F30" s="13"/>
      <c r="G30" s="13"/>
      <c r="H30" s="15"/>
      <c r="I30" s="10"/>
      <c r="J30" s="10"/>
      <c r="K30" s="10"/>
      <c r="L30" s="10"/>
      <c r="M30" s="10"/>
      <c r="N30" s="10"/>
      <c r="O30" s="10"/>
      <c r="P30" s="10"/>
      <c r="Q30" s="10"/>
      <c r="R30" s="10"/>
      <c r="S30" s="10" t="s">
        <v>1521</v>
      </c>
      <c r="T30" s="10" t="s">
        <v>68</v>
      </c>
      <c r="U30" s="28" t="s">
        <v>1522</v>
      </c>
      <c r="V30" s="28" t="s">
        <v>210</v>
      </c>
      <c r="W30" s="23"/>
      <c r="X30" s="10" t="s">
        <v>1521</v>
      </c>
      <c r="Y30" s="10" t="s">
        <v>68</v>
      </c>
      <c r="Z30" s="10" t="str">
        <f>_xlfn.DISPIMG("ID_3B974D1D38694B52B626E5900ADFB51E",1)</f>
        <v>=DISPIMG("ID_3B974D1D38694B52B626E5900ADFB51E",1)</v>
      </c>
      <c r="AA30" s="10" t="s">
        <v>1431</v>
      </c>
      <c r="AB30" s="10" t="s">
        <v>1523</v>
      </c>
      <c r="AC30" s="10"/>
    </row>
    <row r="31" s="2" customFormat="1" ht="82.5" hidden="1" spans="1:29">
      <c r="A31" s="10" t="s">
        <v>1426</v>
      </c>
      <c r="B31" s="11" t="s">
        <v>1516</v>
      </c>
      <c r="C31" s="10" t="s">
        <v>1517</v>
      </c>
      <c r="D31" s="10" t="s">
        <v>1518</v>
      </c>
      <c r="E31" s="12"/>
      <c r="F31" s="13"/>
      <c r="G31" s="13"/>
      <c r="H31" s="15"/>
      <c r="I31" s="10"/>
      <c r="J31" s="10"/>
      <c r="K31" s="10"/>
      <c r="L31" s="10"/>
      <c r="M31" s="10"/>
      <c r="N31" s="10"/>
      <c r="O31" s="10"/>
      <c r="P31" s="10"/>
      <c r="Q31" s="10"/>
      <c r="R31" s="10"/>
      <c r="S31" s="10" t="s">
        <v>1524</v>
      </c>
      <c r="T31" s="10" t="s">
        <v>68</v>
      </c>
      <c r="U31" s="28" t="s">
        <v>1474</v>
      </c>
      <c r="V31" s="28" t="s">
        <v>210</v>
      </c>
      <c r="W31" s="23"/>
      <c r="X31" s="10" t="s">
        <v>1524</v>
      </c>
      <c r="Y31" s="10" t="s">
        <v>68</v>
      </c>
      <c r="Z31" s="10" t="str">
        <f>_xlfn.DISPIMG("ID_2F94BBD59D0A4231974EDE6F59F43FA5",1)</f>
        <v>=DISPIMG("ID_2F94BBD59D0A4231974EDE6F59F43FA5",1)</v>
      </c>
      <c r="AA31" s="10" t="s">
        <v>1431</v>
      </c>
      <c r="AB31" s="10" t="s">
        <v>1525</v>
      </c>
      <c r="AC31" s="10"/>
    </row>
    <row r="32" s="2" customFormat="1" ht="99" hidden="1" spans="1:29">
      <c r="A32" s="10" t="s">
        <v>1426</v>
      </c>
      <c r="B32" s="11" t="s">
        <v>1516</v>
      </c>
      <c r="C32" s="10" t="s">
        <v>1517</v>
      </c>
      <c r="D32" s="10" t="s">
        <v>1518</v>
      </c>
      <c r="E32" s="12"/>
      <c r="F32" s="13"/>
      <c r="G32" s="13"/>
      <c r="H32" s="15"/>
      <c r="I32" s="10"/>
      <c r="J32" s="10"/>
      <c r="K32" s="10"/>
      <c r="L32" s="10"/>
      <c r="M32" s="10"/>
      <c r="N32" s="10"/>
      <c r="O32" s="10"/>
      <c r="P32" s="10"/>
      <c r="Q32" s="10"/>
      <c r="R32" s="10"/>
      <c r="S32" s="10" t="s">
        <v>1526</v>
      </c>
      <c r="T32" s="10" t="s">
        <v>68</v>
      </c>
      <c r="U32" s="10" t="s">
        <v>1526</v>
      </c>
      <c r="V32" s="28" t="s">
        <v>210</v>
      </c>
      <c r="W32" s="23"/>
      <c r="X32" s="10" t="s">
        <v>1526</v>
      </c>
      <c r="Y32" s="10" t="s">
        <v>68</v>
      </c>
      <c r="Z32" s="10" t="str">
        <f>_xlfn.DISPIMG("ID_992F8D9FDAAD4228BC8D7A0BD437FAED",1)</f>
        <v>=DISPIMG("ID_992F8D9FDAAD4228BC8D7A0BD437FAED",1)</v>
      </c>
      <c r="AA32" s="10" t="s">
        <v>1431</v>
      </c>
      <c r="AB32" s="10" t="s">
        <v>1527</v>
      </c>
      <c r="AC32" s="10"/>
    </row>
    <row r="33" s="2" customFormat="1" ht="60" hidden="1" spans="1:29">
      <c r="A33" s="10" t="s">
        <v>1426</v>
      </c>
      <c r="B33" s="11" t="s">
        <v>1516</v>
      </c>
      <c r="C33" s="10" t="s">
        <v>1517</v>
      </c>
      <c r="D33" s="10" t="s">
        <v>1518</v>
      </c>
      <c r="E33" s="12"/>
      <c r="F33" s="13"/>
      <c r="G33" s="13"/>
      <c r="H33" s="15"/>
      <c r="I33" s="10"/>
      <c r="J33" s="10"/>
      <c r="K33" s="10"/>
      <c r="L33" s="10"/>
      <c r="M33" s="10"/>
      <c r="N33" s="10"/>
      <c r="O33" s="10"/>
      <c r="P33" s="10"/>
      <c r="Q33" s="10"/>
      <c r="R33" s="10"/>
      <c r="S33" s="10" t="s">
        <v>1528</v>
      </c>
      <c r="T33" s="10" t="s">
        <v>68</v>
      </c>
      <c r="U33" s="28" t="s">
        <v>1477</v>
      </c>
      <c r="V33" s="28" t="s">
        <v>210</v>
      </c>
      <c r="W33" s="23"/>
      <c r="X33" s="10" t="s">
        <v>1528</v>
      </c>
      <c r="Y33" s="10" t="s">
        <v>68</v>
      </c>
      <c r="Z33" s="10" t="str">
        <f>_xlfn.DISPIMG("ID_2AA4460C3934492E82A33149114F5637",1)</f>
        <v>=DISPIMG("ID_2AA4460C3934492E82A33149114F5637",1)</v>
      </c>
      <c r="AA33" s="10" t="s">
        <v>1431</v>
      </c>
      <c r="AB33" s="10" t="s">
        <v>1529</v>
      </c>
      <c r="AC33" s="10"/>
    </row>
    <row r="34" s="2" customFormat="1" ht="165" hidden="1" spans="1:29">
      <c r="A34" s="10" t="s">
        <v>1426</v>
      </c>
      <c r="B34" s="11" t="s">
        <v>1516</v>
      </c>
      <c r="C34" s="10" t="s">
        <v>1517</v>
      </c>
      <c r="D34" s="10" t="s">
        <v>1518</v>
      </c>
      <c r="E34" s="12"/>
      <c r="F34" s="13"/>
      <c r="G34" s="13"/>
      <c r="H34" s="15"/>
      <c r="I34" s="10"/>
      <c r="J34" s="10"/>
      <c r="K34" s="10"/>
      <c r="L34" s="10"/>
      <c r="M34" s="10"/>
      <c r="N34" s="10"/>
      <c r="O34" s="10"/>
      <c r="P34" s="10"/>
      <c r="Q34" s="10"/>
      <c r="R34" s="10"/>
      <c r="S34" s="10" t="s">
        <v>1530</v>
      </c>
      <c r="T34" s="10" t="s">
        <v>68</v>
      </c>
      <c r="U34" s="28" t="s">
        <v>1480</v>
      </c>
      <c r="V34" s="28" t="s">
        <v>269</v>
      </c>
      <c r="W34" s="23"/>
      <c r="X34" s="10" t="s">
        <v>1530</v>
      </c>
      <c r="Y34" s="10" t="s">
        <v>68</v>
      </c>
      <c r="Z34" s="10" t="str">
        <f>_xlfn.DISPIMG("ID_8338ACCD40BE48B7B08EDB8A3C1FC174",1)</f>
        <v>=DISPIMG("ID_8338ACCD40BE48B7B08EDB8A3C1FC174",1)</v>
      </c>
      <c r="AA34" s="10" t="s">
        <v>1431</v>
      </c>
      <c r="AB34" s="10" t="s">
        <v>1531</v>
      </c>
      <c r="AC34" s="10"/>
    </row>
    <row r="35" s="2" customFormat="1" ht="148.5" hidden="1" spans="1:29">
      <c r="A35" s="10" t="s">
        <v>1426</v>
      </c>
      <c r="B35" s="11" t="s">
        <v>1516</v>
      </c>
      <c r="C35" s="10" t="s">
        <v>1517</v>
      </c>
      <c r="D35" s="10" t="s">
        <v>1518</v>
      </c>
      <c r="E35" s="12"/>
      <c r="F35" s="13"/>
      <c r="G35" s="13"/>
      <c r="H35" s="15"/>
      <c r="I35" s="10"/>
      <c r="J35" s="10"/>
      <c r="K35" s="10"/>
      <c r="L35" s="10"/>
      <c r="M35" s="10"/>
      <c r="N35" s="10"/>
      <c r="O35" s="10"/>
      <c r="P35" s="10"/>
      <c r="Q35" s="10"/>
      <c r="R35" s="10"/>
      <c r="S35" s="10" t="s">
        <v>1532</v>
      </c>
      <c r="T35" s="10" t="s">
        <v>68</v>
      </c>
      <c r="U35" s="28" t="s">
        <v>1483</v>
      </c>
      <c r="V35" s="28" t="s">
        <v>269</v>
      </c>
      <c r="W35" s="23"/>
      <c r="X35" s="10" t="s">
        <v>1532</v>
      </c>
      <c r="Y35" s="10" t="s">
        <v>68</v>
      </c>
      <c r="Z35" s="10" t="str">
        <f>_xlfn.DISPIMG("ID_1D3440EA02D04258A6E1AE733612E4D3",1)</f>
        <v>=DISPIMG("ID_1D3440EA02D04258A6E1AE733612E4D3",1)</v>
      </c>
      <c r="AA35" s="10" t="s">
        <v>1431</v>
      </c>
      <c r="AB35" s="10" t="s">
        <v>1533</v>
      </c>
      <c r="AC35" s="10"/>
    </row>
    <row r="36" s="2" customFormat="1" ht="148.5" hidden="1" spans="1:29">
      <c r="A36" s="10" t="s">
        <v>1426</v>
      </c>
      <c r="B36" s="11" t="s">
        <v>1516</v>
      </c>
      <c r="C36" s="10" t="s">
        <v>1517</v>
      </c>
      <c r="D36" s="10" t="s">
        <v>1518</v>
      </c>
      <c r="E36" s="12"/>
      <c r="F36" s="13"/>
      <c r="G36" s="13"/>
      <c r="H36" s="15"/>
      <c r="I36" s="10"/>
      <c r="J36" s="10"/>
      <c r="K36" s="10"/>
      <c r="L36" s="10"/>
      <c r="M36" s="10"/>
      <c r="N36" s="10"/>
      <c r="O36" s="10"/>
      <c r="P36" s="10"/>
      <c r="Q36" s="10"/>
      <c r="R36" s="10"/>
      <c r="S36" s="10" t="s">
        <v>1534</v>
      </c>
      <c r="T36" s="10" t="s">
        <v>68</v>
      </c>
      <c r="U36" s="28" t="s">
        <v>1486</v>
      </c>
      <c r="V36" s="28" t="s">
        <v>269</v>
      </c>
      <c r="W36" s="23"/>
      <c r="X36" s="10" t="s">
        <v>1534</v>
      </c>
      <c r="Y36" s="10" t="s">
        <v>68</v>
      </c>
      <c r="Z36" s="10" t="str">
        <f>_xlfn.DISPIMG("ID_B86E0B4900DA46D3ABB0A82462475652",1)</f>
        <v>=DISPIMG("ID_B86E0B4900DA46D3ABB0A82462475652",1)</v>
      </c>
      <c r="AA36" s="10" t="s">
        <v>1431</v>
      </c>
      <c r="AB36" s="10" t="s">
        <v>1535</v>
      </c>
      <c r="AC36" s="10"/>
    </row>
    <row r="37" s="2" customFormat="1" ht="181.5" hidden="1" spans="1:29">
      <c r="A37" s="10" t="s">
        <v>1426</v>
      </c>
      <c r="B37" s="11" t="s">
        <v>1516</v>
      </c>
      <c r="C37" s="10" t="s">
        <v>1517</v>
      </c>
      <c r="D37" s="10" t="s">
        <v>1518</v>
      </c>
      <c r="E37" s="12"/>
      <c r="F37" s="13"/>
      <c r="G37" s="13"/>
      <c r="H37" s="15"/>
      <c r="I37" s="10"/>
      <c r="J37" s="10"/>
      <c r="K37" s="10"/>
      <c r="L37" s="10"/>
      <c r="M37" s="10"/>
      <c r="N37" s="10"/>
      <c r="O37" s="10"/>
      <c r="P37" s="10"/>
      <c r="Q37" s="10"/>
      <c r="R37" s="10"/>
      <c r="S37" s="10" t="s">
        <v>1536</v>
      </c>
      <c r="T37" s="10" t="s">
        <v>68</v>
      </c>
      <c r="U37" s="28" t="s">
        <v>1489</v>
      </c>
      <c r="V37" s="28" t="s">
        <v>269</v>
      </c>
      <c r="W37" s="23"/>
      <c r="X37" s="10" t="s">
        <v>1536</v>
      </c>
      <c r="Y37" s="10" t="s">
        <v>68</v>
      </c>
      <c r="Z37" s="10" t="str">
        <f>_xlfn.DISPIMG("ID_27DACF5500AD45A6B4AADE954D4B7CF6",1)</f>
        <v>=DISPIMG("ID_27DACF5500AD45A6B4AADE954D4B7CF6",1)</v>
      </c>
      <c r="AA37" s="10" t="s">
        <v>1431</v>
      </c>
      <c r="AB37" s="10" t="s">
        <v>1537</v>
      </c>
      <c r="AC37" s="10"/>
    </row>
    <row r="38" s="2" customFormat="1" ht="115.5" hidden="1" spans="1:29">
      <c r="A38" s="10" t="s">
        <v>1426</v>
      </c>
      <c r="B38" s="11" t="s">
        <v>1516</v>
      </c>
      <c r="C38" s="10" t="s">
        <v>1517</v>
      </c>
      <c r="D38" s="10" t="s">
        <v>1518</v>
      </c>
      <c r="E38" s="12"/>
      <c r="F38" s="13"/>
      <c r="G38" s="13"/>
      <c r="H38" s="15"/>
      <c r="I38" s="10"/>
      <c r="J38" s="10"/>
      <c r="K38" s="10"/>
      <c r="L38" s="10"/>
      <c r="M38" s="10"/>
      <c r="N38" s="10"/>
      <c r="O38" s="10"/>
      <c r="P38" s="10"/>
      <c r="Q38" s="10"/>
      <c r="R38" s="10"/>
      <c r="S38" s="10" t="s">
        <v>1538</v>
      </c>
      <c r="T38" s="10" t="s">
        <v>68</v>
      </c>
      <c r="U38" s="10" t="s">
        <v>1538</v>
      </c>
      <c r="V38" s="10"/>
      <c r="W38" s="23"/>
      <c r="X38" s="10" t="s">
        <v>1538</v>
      </c>
      <c r="Y38" s="10" t="s">
        <v>68</v>
      </c>
      <c r="Z38" s="10" t="str">
        <f>_xlfn.DISPIMG("ID_53A13C0B05734625B42D677A3A85516E",1)</f>
        <v>=DISPIMG("ID_53A13C0B05734625B42D677A3A85516E",1)</v>
      </c>
      <c r="AA38" s="10" t="s">
        <v>1431</v>
      </c>
      <c r="AB38" s="10" t="s">
        <v>1539</v>
      </c>
      <c r="AC38" s="10"/>
    </row>
    <row r="39" s="2" customFormat="1" ht="165" hidden="1" spans="1:29">
      <c r="A39" s="10" t="s">
        <v>1426</v>
      </c>
      <c r="B39" s="11" t="s">
        <v>1516</v>
      </c>
      <c r="C39" s="10" t="s">
        <v>1517</v>
      </c>
      <c r="D39" s="10" t="s">
        <v>1518</v>
      </c>
      <c r="E39" s="12"/>
      <c r="F39" s="13"/>
      <c r="G39" s="13"/>
      <c r="H39" s="15"/>
      <c r="I39" s="10"/>
      <c r="J39" s="10"/>
      <c r="K39" s="10"/>
      <c r="L39" s="10"/>
      <c r="M39" s="10"/>
      <c r="N39" s="10"/>
      <c r="O39" s="10"/>
      <c r="P39" s="10"/>
      <c r="Q39" s="10"/>
      <c r="R39" s="10"/>
      <c r="S39" s="10" t="s">
        <v>1540</v>
      </c>
      <c r="T39" s="10" t="s">
        <v>68</v>
      </c>
      <c r="U39" s="28" t="s">
        <v>1541</v>
      </c>
      <c r="V39" s="28" t="s">
        <v>269</v>
      </c>
      <c r="W39" s="23"/>
      <c r="X39" s="10" t="s">
        <v>1540</v>
      </c>
      <c r="Y39" s="10" t="s">
        <v>68</v>
      </c>
      <c r="Z39" s="10" t="str">
        <f>_xlfn.DISPIMG("ID_D1FB6B37C1E7408FA2840BF6C1ED142C",1)</f>
        <v>=DISPIMG("ID_D1FB6B37C1E7408FA2840BF6C1ED142C",1)</v>
      </c>
      <c r="AA39" s="10" t="s">
        <v>1431</v>
      </c>
      <c r="AB39" s="10" t="s">
        <v>1542</v>
      </c>
      <c r="AC39" s="10"/>
    </row>
    <row r="40" s="2" customFormat="1" ht="198" hidden="1" spans="1:29">
      <c r="A40" s="10" t="s">
        <v>1426</v>
      </c>
      <c r="B40" s="11" t="s">
        <v>1516</v>
      </c>
      <c r="C40" s="10" t="s">
        <v>1517</v>
      </c>
      <c r="D40" s="10" t="s">
        <v>1518</v>
      </c>
      <c r="E40" s="12"/>
      <c r="F40" s="13"/>
      <c r="G40" s="13"/>
      <c r="H40" s="15"/>
      <c r="I40" s="10"/>
      <c r="J40" s="10"/>
      <c r="K40" s="10"/>
      <c r="L40" s="10"/>
      <c r="M40" s="10"/>
      <c r="N40" s="10"/>
      <c r="O40" s="10"/>
      <c r="P40" s="10"/>
      <c r="Q40" s="10"/>
      <c r="R40" s="10"/>
      <c r="S40" s="10" t="s">
        <v>1543</v>
      </c>
      <c r="T40" s="10" t="s">
        <v>68</v>
      </c>
      <c r="U40" s="28" t="s">
        <v>1541</v>
      </c>
      <c r="V40" s="28" t="s">
        <v>269</v>
      </c>
      <c r="W40" s="23"/>
      <c r="X40" s="10" t="s">
        <v>1543</v>
      </c>
      <c r="Y40" s="10" t="s">
        <v>68</v>
      </c>
      <c r="Z40" s="10" t="str">
        <f>_xlfn.DISPIMG("ID_CB2BB9C007474199A7CC15E63EECBE65",1)</f>
        <v>=DISPIMG("ID_CB2BB9C007474199A7CC15E63EECBE65",1)</v>
      </c>
      <c r="AA40" s="10" t="s">
        <v>1431</v>
      </c>
      <c r="AB40" s="10" t="s">
        <v>1544</v>
      </c>
      <c r="AC40" s="10"/>
    </row>
    <row r="41" s="2" customFormat="1" ht="214.5" hidden="1" spans="1:29">
      <c r="A41" s="10" t="s">
        <v>1426</v>
      </c>
      <c r="B41" s="11" t="s">
        <v>1516</v>
      </c>
      <c r="C41" s="10" t="s">
        <v>1517</v>
      </c>
      <c r="D41" s="10" t="s">
        <v>1518</v>
      </c>
      <c r="E41" s="12"/>
      <c r="F41" s="13"/>
      <c r="G41" s="13"/>
      <c r="H41" s="15"/>
      <c r="I41" s="10"/>
      <c r="J41" s="10"/>
      <c r="K41" s="10"/>
      <c r="L41" s="10"/>
      <c r="M41" s="10"/>
      <c r="N41" s="10"/>
      <c r="O41" s="10"/>
      <c r="P41" s="10"/>
      <c r="Q41" s="10"/>
      <c r="R41" s="10"/>
      <c r="S41" s="10" t="s">
        <v>1545</v>
      </c>
      <c r="T41" s="10" t="s">
        <v>68</v>
      </c>
      <c r="U41" s="28" t="s">
        <v>1546</v>
      </c>
      <c r="V41" s="28" t="s">
        <v>269</v>
      </c>
      <c r="W41" s="23"/>
      <c r="X41" s="10" t="s">
        <v>1545</v>
      </c>
      <c r="Y41" s="10" t="s">
        <v>68</v>
      </c>
      <c r="Z41" s="10" t="str">
        <f>_xlfn.DISPIMG("ID_70152921C6D04D27993FA13728927297",1)</f>
        <v>=DISPIMG("ID_70152921C6D04D27993FA13728927297",1)</v>
      </c>
      <c r="AA41" s="10" t="s">
        <v>1431</v>
      </c>
      <c r="AB41" s="10" t="s">
        <v>1547</v>
      </c>
      <c r="AC41" s="10"/>
    </row>
    <row r="42" s="2" customFormat="1" ht="214.5" hidden="1" spans="1:29">
      <c r="A42" s="10" t="s">
        <v>1426</v>
      </c>
      <c r="B42" s="11" t="s">
        <v>1516</v>
      </c>
      <c r="C42" s="10" t="s">
        <v>1517</v>
      </c>
      <c r="D42" s="10" t="s">
        <v>1518</v>
      </c>
      <c r="E42" s="12"/>
      <c r="F42" s="13"/>
      <c r="G42" s="13"/>
      <c r="H42" s="16"/>
      <c r="I42" s="10"/>
      <c r="J42" s="10"/>
      <c r="K42" s="10"/>
      <c r="L42" s="10"/>
      <c r="M42" s="10"/>
      <c r="N42" s="10"/>
      <c r="O42" s="10"/>
      <c r="P42" s="10"/>
      <c r="Q42" s="10"/>
      <c r="R42" s="10"/>
      <c r="S42" s="10" t="s">
        <v>1548</v>
      </c>
      <c r="T42" s="10" t="s">
        <v>68</v>
      </c>
      <c r="U42" s="28" t="s">
        <v>1549</v>
      </c>
      <c r="V42" s="28" t="s">
        <v>269</v>
      </c>
      <c r="W42" s="23"/>
      <c r="X42" s="10" t="s">
        <v>1548</v>
      </c>
      <c r="Y42" s="10" t="s">
        <v>68</v>
      </c>
      <c r="Z42" s="10" t="str">
        <f>_xlfn.DISPIMG("ID_15253F2463274AF9B3FD2B0AAF9743DA",1)</f>
        <v>=DISPIMG("ID_15253F2463274AF9B3FD2B0AAF9743DA",1)</v>
      </c>
      <c r="AA42" s="10" t="s">
        <v>1431</v>
      </c>
      <c r="AB42" s="10" t="s">
        <v>1550</v>
      </c>
      <c r="AC42" s="10"/>
    </row>
    <row r="43" s="2" customFormat="1" ht="99" hidden="1" spans="1:29">
      <c r="A43" s="10" t="s">
        <v>1426</v>
      </c>
      <c r="B43" s="11" t="s">
        <v>1516</v>
      </c>
      <c r="C43" s="10" t="s">
        <v>1517</v>
      </c>
      <c r="D43" s="10" t="s">
        <v>1551</v>
      </c>
      <c r="E43" s="12"/>
      <c r="F43" s="13"/>
      <c r="G43" s="13"/>
      <c r="H43" s="14" t="s">
        <v>1551</v>
      </c>
      <c r="I43" s="10"/>
      <c r="J43" s="10"/>
      <c r="K43" s="10"/>
      <c r="L43" s="10"/>
      <c r="M43" s="10"/>
      <c r="N43" s="10"/>
      <c r="O43" s="10"/>
      <c r="P43" s="10"/>
      <c r="Q43" s="10"/>
      <c r="R43" s="10"/>
      <c r="S43" s="10" t="s">
        <v>1552</v>
      </c>
      <c r="T43" s="10" t="s">
        <v>68</v>
      </c>
      <c r="U43" s="28" t="s">
        <v>1553</v>
      </c>
      <c r="V43" s="28" t="s">
        <v>269</v>
      </c>
      <c r="W43" s="23"/>
      <c r="X43" s="10" t="s">
        <v>1552</v>
      </c>
      <c r="Y43" s="10" t="s">
        <v>68</v>
      </c>
      <c r="Z43" s="10" t="str">
        <f>_xlfn.DISPIMG("ID_77F7912CBF404ABBBF8DB17145675F8F",1)</f>
        <v>=DISPIMG("ID_77F7912CBF404ABBBF8DB17145675F8F",1)</v>
      </c>
      <c r="AA43" s="10" t="s">
        <v>1431</v>
      </c>
      <c r="AB43" s="10" t="s">
        <v>1554</v>
      </c>
      <c r="AC43" s="10"/>
    </row>
    <row r="44" s="2" customFormat="1" ht="99" hidden="1" spans="1:29">
      <c r="A44" s="10" t="s">
        <v>1426</v>
      </c>
      <c r="B44" s="11" t="s">
        <v>1516</v>
      </c>
      <c r="C44" s="10" t="s">
        <v>1517</v>
      </c>
      <c r="D44" s="10" t="s">
        <v>1551</v>
      </c>
      <c r="E44" s="12"/>
      <c r="F44" s="13"/>
      <c r="G44" s="13"/>
      <c r="H44" s="15"/>
      <c r="I44" s="10"/>
      <c r="J44" s="10"/>
      <c r="K44" s="10"/>
      <c r="L44" s="10"/>
      <c r="M44" s="10"/>
      <c r="N44" s="10"/>
      <c r="O44" s="10"/>
      <c r="P44" s="10"/>
      <c r="Q44" s="10"/>
      <c r="R44" s="10"/>
      <c r="S44" s="10" t="s">
        <v>1555</v>
      </c>
      <c r="T44" s="10" t="s">
        <v>68</v>
      </c>
      <c r="U44" s="28" t="s">
        <v>1556</v>
      </c>
      <c r="V44" s="28" t="s">
        <v>269</v>
      </c>
      <c r="W44" s="23"/>
      <c r="X44" s="10" t="s">
        <v>1555</v>
      </c>
      <c r="Y44" s="10" t="s">
        <v>68</v>
      </c>
      <c r="Z44" s="10" t="str">
        <f>_xlfn.DISPIMG("ID_4B63EB874442448598599EBDC00DD398",1)</f>
        <v>=DISPIMG("ID_4B63EB874442448598599EBDC00DD398",1)</v>
      </c>
      <c r="AA44" s="10" t="s">
        <v>1431</v>
      </c>
      <c r="AB44" s="10" t="s">
        <v>1557</v>
      </c>
      <c r="AC44" s="10"/>
    </row>
    <row r="45" s="2" customFormat="1" ht="99" hidden="1" spans="1:29">
      <c r="A45" s="10" t="s">
        <v>1426</v>
      </c>
      <c r="B45" s="11" t="s">
        <v>1516</v>
      </c>
      <c r="C45" s="10" t="s">
        <v>1517</v>
      </c>
      <c r="D45" s="10" t="s">
        <v>1551</v>
      </c>
      <c r="E45" s="12"/>
      <c r="F45" s="13"/>
      <c r="G45" s="13"/>
      <c r="H45" s="15"/>
      <c r="I45" s="10"/>
      <c r="J45" s="10"/>
      <c r="K45" s="10"/>
      <c r="L45" s="10"/>
      <c r="M45" s="10"/>
      <c r="N45" s="10"/>
      <c r="O45" s="10"/>
      <c r="P45" s="10"/>
      <c r="Q45" s="10"/>
      <c r="R45" s="10"/>
      <c r="S45" s="10" t="s">
        <v>1558</v>
      </c>
      <c r="T45" s="10" t="s">
        <v>68</v>
      </c>
      <c r="U45" s="28" t="s">
        <v>1559</v>
      </c>
      <c r="V45" s="28" t="s">
        <v>269</v>
      </c>
      <c r="W45" s="23"/>
      <c r="X45" s="10" t="s">
        <v>1558</v>
      </c>
      <c r="Y45" s="10" t="s">
        <v>68</v>
      </c>
      <c r="Z45" s="10" t="str">
        <f>_xlfn.DISPIMG("ID_9D8B2437E11D40BB96F61BB32B6005EF",1)</f>
        <v>=DISPIMG("ID_9D8B2437E11D40BB96F61BB32B6005EF",1)</v>
      </c>
      <c r="AA45" s="10" t="s">
        <v>1431</v>
      </c>
      <c r="AB45" s="10" t="s">
        <v>1560</v>
      </c>
      <c r="AC45" s="10"/>
    </row>
    <row r="46" s="2" customFormat="1" ht="99" hidden="1" spans="1:29">
      <c r="A46" s="10" t="s">
        <v>1426</v>
      </c>
      <c r="B46" s="11" t="s">
        <v>1516</v>
      </c>
      <c r="C46" s="10" t="s">
        <v>1517</v>
      </c>
      <c r="D46" s="10" t="s">
        <v>1551</v>
      </c>
      <c r="E46" s="12"/>
      <c r="F46" s="13"/>
      <c r="G46" s="13"/>
      <c r="H46" s="15"/>
      <c r="I46" s="10"/>
      <c r="J46" s="10"/>
      <c r="K46" s="10"/>
      <c r="L46" s="10"/>
      <c r="M46" s="10"/>
      <c r="N46" s="10"/>
      <c r="O46" s="10"/>
      <c r="P46" s="10"/>
      <c r="Q46" s="10"/>
      <c r="R46" s="10"/>
      <c r="S46" s="10" t="s">
        <v>1561</v>
      </c>
      <c r="T46" s="10" t="s">
        <v>68</v>
      </c>
      <c r="U46" s="28" t="s">
        <v>1562</v>
      </c>
      <c r="V46" s="28" t="s">
        <v>269</v>
      </c>
      <c r="W46" s="23"/>
      <c r="X46" s="10" t="s">
        <v>1561</v>
      </c>
      <c r="Y46" s="10" t="s">
        <v>68</v>
      </c>
      <c r="Z46" s="10" t="str">
        <f>_xlfn.DISPIMG("ID_7BA6F6EEC45742C38E591C014FFDF5DE",1)</f>
        <v>=DISPIMG("ID_7BA6F6EEC45742C38E591C014FFDF5DE",1)</v>
      </c>
      <c r="AA46" s="10" t="s">
        <v>1431</v>
      </c>
      <c r="AB46" s="10" t="s">
        <v>1563</v>
      </c>
      <c r="AC46" s="10"/>
    </row>
    <row r="47" s="2" customFormat="1" ht="82.5" hidden="1" spans="1:29">
      <c r="A47" s="10" t="s">
        <v>1426</v>
      </c>
      <c r="B47" s="11" t="s">
        <v>1516</v>
      </c>
      <c r="C47" s="10" t="s">
        <v>1517</v>
      </c>
      <c r="D47" s="10" t="s">
        <v>1551</v>
      </c>
      <c r="E47" s="12"/>
      <c r="F47" s="13"/>
      <c r="G47" s="13"/>
      <c r="H47" s="16"/>
      <c r="I47" s="10"/>
      <c r="J47" s="10"/>
      <c r="K47" s="10"/>
      <c r="L47" s="10"/>
      <c r="M47" s="10"/>
      <c r="N47" s="10"/>
      <c r="O47" s="10"/>
      <c r="P47" s="10"/>
      <c r="Q47" s="10"/>
      <c r="R47" s="10"/>
      <c r="S47" s="10" t="s">
        <v>1564</v>
      </c>
      <c r="T47" s="10" t="s">
        <v>68</v>
      </c>
      <c r="U47" s="28" t="s">
        <v>1514</v>
      </c>
      <c r="V47" s="28" t="s">
        <v>269</v>
      </c>
      <c r="W47" s="23"/>
      <c r="X47" s="10" t="s">
        <v>1564</v>
      </c>
      <c r="Y47" s="10" t="s">
        <v>68</v>
      </c>
      <c r="Z47" s="10"/>
      <c r="AA47" s="10" t="s">
        <v>1431</v>
      </c>
      <c r="AB47" s="10" t="s">
        <v>1565</v>
      </c>
      <c r="AC47" s="10"/>
    </row>
    <row r="48" s="2" customFormat="1" ht="297" hidden="1" spans="1:29">
      <c r="A48" s="10" t="s">
        <v>1426</v>
      </c>
      <c r="B48" s="11" t="s">
        <v>1516</v>
      </c>
      <c r="C48" s="10" t="s">
        <v>1517</v>
      </c>
      <c r="D48" s="10" t="s">
        <v>1566</v>
      </c>
      <c r="E48" s="12"/>
      <c r="F48" s="13"/>
      <c r="G48" s="13"/>
      <c r="H48" s="10" t="s">
        <v>1566</v>
      </c>
      <c r="I48" s="10"/>
      <c r="J48" s="10"/>
      <c r="K48" s="10"/>
      <c r="L48" s="10"/>
      <c r="M48" s="10"/>
      <c r="N48" s="10"/>
      <c r="O48" s="10"/>
      <c r="P48" s="10"/>
      <c r="Q48" s="10"/>
      <c r="R48" s="10"/>
      <c r="S48" s="10" t="s">
        <v>1567</v>
      </c>
      <c r="T48" s="10" t="s">
        <v>68</v>
      </c>
      <c r="U48" s="38"/>
      <c r="V48" s="10"/>
      <c r="W48" s="23"/>
      <c r="X48" s="10" t="s">
        <v>1567</v>
      </c>
      <c r="Y48" s="10" t="s">
        <v>68</v>
      </c>
      <c r="Z48" s="10" t="str">
        <f>_xlfn.DISPIMG("ID_1AB90A4189DD42EA8A161B9C337B0166",1)</f>
        <v>=DISPIMG("ID_1AB90A4189DD42EA8A161B9C337B0166",1)</v>
      </c>
      <c r="AA48" s="10" t="s">
        <v>1431</v>
      </c>
      <c r="AB48" s="10" t="s">
        <v>1568</v>
      </c>
      <c r="AC48" s="10"/>
    </row>
    <row r="49" s="2" customFormat="1" ht="105" hidden="1" spans="1:29">
      <c r="A49" s="10" t="s">
        <v>1426</v>
      </c>
      <c r="B49" s="11" t="s">
        <v>1516</v>
      </c>
      <c r="C49" s="10" t="s">
        <v>1569</v>
      </c>
      <c r="D49" s="10" t="s">
        <v>1569</v>
      </c>
      <c r="E49" s="12"/>
      <c r="F49" s="13"/>
      <c r="G49" s="13"/>
      <c r="H49" s="14" t="s">
        <v>1569</v>
      </c>
      <c r="I49" s="10"/>
      <c r="J49" s="10"/>
      <c r="K49" s="10"/>
      <c r="L49" s="10"/>
      <c r="M49" s="10"/>
      <c r="N49" s="10"/>
      <c r="O49" s="10"/>
      <c r="P49" s="10"/>
      <c r="Q49" s="10"/>
      <c r="R49" s="10"/>
      <c r="S49" s="10" t="s">
        <v>1570</v>
      </c>
      <c r="T49" s="10" t="s">
        <v>68</v>
      </c>
      <c r="U49" s="28" t="s">
        <v>1571</v>
      </c>
      <c r="V49" s="28" t="s">
        <v>269</v>
      </c>
      <c r="W49" s="23"/>
      <c r="X49" s="10" t="s">
        <v>1570</v>
      </c>
      <c r="Y49" s="10" t="s">
        <v>68</v>
      </c>
      <c r="Z49" s="10" t="str">
        <f>_xlfn.DISPIMG("ID_AC18AD4C3A4343CFB158B8F5FA16F6E5",1)</f>
        <v>=DISPIMG("ID_AC18AD4C3A4343CFB158B8F5FA16F6E5",1)</v>
      </c>
      <c r="AA49" s="10" t="s">
        <v>1431</v>
      </c>
      <c r="AB49" s="10" t="s">
        <v>1572</v>
      </c>
      <c r="AC49" s="10"/>
    </row>
    <row r="50" s="2" customFormat="1" ht="82.5" hidden="1" spans="1:29">
      <c r="A50" s="10" t="s">
        <v>1426</v>
      </c>
      <c r="B50" s="11" t="s">
        <v>1516</v>
      </c>
      <c r="C50" s="10" t="s">
        <v>1569</v>
      </c>
      <c r="D50" s="10" t="s">
        <v>1569</v>
      </c>
      <c r="E50" s="12"/>
      <c r="F50" s="13"/>
      <c r="G50" s="13"/>
      <c r="H50" s="15"/>
      <c r="I50" s="10"/>
      <c r="J50" s="10"/>
      <c r="K50" s="10"/>
      <c r="L50" s="10"/>
      <c r="M50" s="10"/>
      <c r="N50" s="10"/>
      <c r="O50" s="10"/>
      <c r="P50" s="10"/>
      <c r="Q50" s="10"/>
      <c r="R50" s="10"/>
      <c r="S50" s="10" t="s">
        <v>1573</v>
      </c>
      <c r="T50" s="10" t="s">
        <v>68</v>
      </c>
      <c r="U50" s="28" t="s">
        <v>1574</v>
      </c>
      <c r="V50" s="28" t="s">
        <v>269</v>
      </c>
      <c r="W50" s="23"/>
      <c r="X50" s="10" t="s">
        <v>1573</v>
      </c>
      <c r="Y50" s="10" t="s">
        <v>68</v>
      </c>
      <c r="Z50" s="10" t="str">
        <f>_xlfn.DISPIMG("ID_EDE8CE1D8C754E5AAAC60C00F514BC84",1)</f>
        <v>=DISPIMG("ID_EDE8CE1D8C754E5AAAC60C00F514BC84",1)</v>
      </c>
      <c r="AA50" s="10" t="s">
        <v>1431</v>
      </c>
      <c r="AB50" s="10" t="s">
        <v>1575</v>
      </c>
      <c r="AC50" s="10"/>
    </row>
    <row r="51" s="2" customFormat="1" ht="60" hidden="1" spans="1:29">
      <c r="A51" s="10" t="s">
        <v>1426</v>
      </c>
      <c r="B51" s="11" t="s">
        <v>1516</v>
      </c>
      <c r="C51" s="10" t="s">
        <v>1569</v>
      </c>
      <c r="D51" s="10" t="s">
        <v>1569</v>
      </c>
      <c r="E51" s="12"/>
      <c r="F51" s="13"/>
      <c r="G51" s="13"/>
      <c r="H51" s="16"/>
      <c r="I51" s="10"/>
      <c r="J51" s="10"/>
      <c r="K51" s="10"/>
      <c r="L51" s="10"/>
      <c r="M51" s="10"/>
      <c r="N51" s="10"/>
      <c r="O51" s="10"/>
      <c r="P51" s="10"/>
      <c r="Q51" s="10"/>
      <c r="R51" s="10"/>
      <c r="S51" s="10" t="s">
        <v>1576</v>
      </c>
      <c r="T51" s="10" t="s">
        <v>68</v>
      </c>
      <c r="U51" s="28" t="s">
        <v>1577</v>
      </c>
      <c r="V51" s="28" t="s">
        <v>269</v>
      </c>
      <c r="W51" s="23"/>
      <c r="X51" s="10" t="s">
        <v>1576</v>
      </c>
      <c r="Y51" s="10" t="s">
        <v>68</v>
      </c>
      <c r="Z51" s="10" t="str">
        <f>_xlfn.DISPIMG("ID_67E524CC6999442B986A84CF937E82F8",1)</f>
        <v>=DISPIMG("ID_67E524CC6999442B986A84CF937E82F8",1)</v>
      </c>
      <c r="AA51" s="10" t="s">
        <v>1431</v>
      </c>
      <c r="AB51" s="10" t="s">
        <v>1529</v>
      </c>
      <c r="AC51" s="10"/>
    </row>
    <row r="52" s="2" customFormat="1" ht="66" hidden="1" spans="1:29">
      <c r="A52" s="10" t="s">
        <v>1426</v>
      </c>
      <c r="B52" s="11" t="s">
        <v>1516</v>
      </c>
      <c r="C52" s="10" t="s">
        <v>1578</v>
      </c>
      <c r="D52" s="10" t="s">
        <v>1578</v>
      </c>
      <c r="E52" s="12"/>
      <c r="F52" s="13"/>
      <c r="G52" s="13"/>
      <c r="H52" s="14" t="s">
        <v>1578</v>
      </c>
      <c r="I52" s="10"/>
      <c r="J52" s="10"/>
      <c r="K52" s="10"/>
      <c r="L52" s="10"/>
      <c r="M52" s="10"/>
      <c r="N52" s="10"/>
      <c r="O52" s="10"/>
      <c r="P52" s="10"/>
      <c r="Q52" s="10"/>
      <c r="R52" s="10"/>
      <c r="S52" s="10" t="s">
        <v>1579</v>
      </c>
      <c r="T52" s="10" t="s">
        <v>68</v>
      </c>
      <c r="U52" s="28" t="s">
        <v>1580</v>
      </c>
      <c r="V52" s="10" t="s">
        <v>33</v>
      </c>
      <c r="W52" s="23"/>
      <c r="X52" s="10" t="s">
        <v>1579</v>
      </c>
      <c r="Y52" s="10" t="s">
        <v>68</v>
      </c>
      <c r="Z52" s="10" t="str">
        <f>_xlfn.DISPIMG("ID_D457286FDB124609A98404EEA14538B0",1)</f>
        <v>=DISPIMG("ID_D457286FDB124609A98404EEA14538B0",1)</v>
      </c>
      <c r="AA52" s="10" t="s">
        <v>1431</v>
      </c>
      <c r="AB52" s="10" t="s">
        <v>1529</v>
      </c>
      <c r="AC52" s="10"/>
    </row>
    <row r="53" s="2" customFormat="1" ht="49.5" hidden="1" spans="1:29">
      <c r="A53" s="10" t="s">
        <v>1426</v>
      </c>
      <c r="B53" s="11" t="s">
        <v>1516</v>
      </c>
      <c r="C53" s="10" t="s">
        <v>1578</v>
      </c>
      <c r="D53" s="10" t="s">
        <v>1578</v>
      </c>
      <c r="E53" s="12"/>
      <c r="F53" s="13"/>
      <c r="G53" s="13"/>
      <c r="H53" s="16"/>
      <c r="I53" s="10"/>
      <c r="J53" s="10"/>
      <c r="K53" s="10"/>
      <c r="L53" s="10"/>
      <c r="M53" s="10"/>
      <c r="N53" s="10"/>
      <c r="O53" s="10"/>
      <c r="P53" s="10"/>
      <c r="Q53" s="10"/>
      <c r="R53" s="10"/>
      <c r="S53" s="10" t="s">
        <v>1578</v>
      </c>
      <c r="T53" s="10" t="s">
        <v>32</v>
      </c>
      <c r="U53" s="10" t="s">
        <v>1578</v>
      </c>
      <c r="V53" s="10" t="s">
        <v>33</v>
      </c>
      <c r="W53" s="23"/>
      <c r="X53" s="10" t="s">
        <v>1578</v>
      </c>
      <c r="Y53" s="10" t="s">
        <v>32</v>
      </c>
      <c r="Z53" s="10"/>
      <c r="AA53" s="10" t="s">
        <v>34</v>
      </c>
      <c r="AB53" s="10" t="s">
        <v>1581</v>
      </c>
      <c r="AC53" s="10"/>
    </row>
    <row r="54" s="2" customFormat="1" ht="60" hidden="1" spans="1:29">
      <c r="A54" s="10" t="s">
        <v>1426</v>
      </c>
      <c r="B54" s="11" t="s">
        <v>1582</v>
      </c>
      <c r="C54" s="10" t="s">
        <v>210</v>
      </c>
      <c r="D54" s="10" t="s">
        <v>210</v>
      </c>
      <c r="E54" s="12"/>
      <c r="F54" s="13"/>
      <c r="G54" s="13"/>
      <c r="H54" s="10" t="s">
        <v>210</v>
      </c>
      <c r="I54" s="10"/>
      <c r="J54" s="10"/>
      <c r="K54" s="10"/>
      <c r="L54" s="10"/>
      <c r="M54" s="10"/>
      <c r="N54" s="10"/>
      <c r="O54" s="10"/>
      <c r="P54" s="10"/>
      <c r="Q54" s="10"/>
      <c r="R54" s="10"/>
      <c r="S54" s="10" t="s">
        <v>1583</v>
      </c>
      <c r="T54" s="10" t="s">
        <v>32</v>
      </c>
      <c r="U54" s="10" t="s">
        <v>1583</v>
      </c>
      <c r="V54" s="10" t="s">
        <v>33</v>
      </c>
      <c r="W54" s="23"/>
      <c r="X54" s="10" t="s">
        <v>1583</v>
      </c>
      <c r="Y54" s="10" t="s">
        <v>32</v>
      </c>
      <c r="Z54" s="10" t="str">
        <f>_xlfn.DISPIMG("ID_A104F634A3524F479B410C21721E3B8B",1)</f>
        <v>=DISPIMG("ID_A104F634A3524F479B410C21721E3B8B",1)</v>
      </c>
      <c r="AA54" s="10" t="s">
        <v>34</v>
      </c>
      <c r="AB54" s="10" t="s">
        <v>1584</v>
      </c>
      <c r="AC54" s="10"/>
    </row>
    <row r="55" s="2" customFormat="1" ht="60" hidden="1" spans="1:29">
      <c r="A55" s="10" t="s">
        <v>1426</v>
      </c>
      <c r="B55" s="11" t="s">
        <v>1582</v>
      </c>
      <c r="C55" s="10" t="s">
        <v>1450</v>
      </c>
      <c r="D55" s="10" t="s">
        <v>1450</v>
      </c>
      <c r="E55" s="12"/>
      <c r="F55" s="13"/>
      <c r="G55" s="13"/>
      <c r="H55" s="10" t="s">
        <v>1450</v>
      </c>
      <c r="I55" s="10"/>
      <c r="J55" s="10"/>
      <c r="K55" s="10"/>
      <c r="L55" s="10"/>
      <c r="M55" s="10"/>
      <c r="N55" s="10"/>
      <c r="O55" s="10"/>
      <c r="P55" s="10"/>
      <c r="Q55" s="10"/>
      <c r="R55" s="10"/>
      <c r="S55" s="10" t="s">
        <v>1585</v>
      </c>
      <c r="T55" s="10" t="s">
        <v>32</v>
      </c>
      <c r="U55" s="10" t="s">
        <v>1585</v>
      </c>
      <c r="V55" s="10" t="s">
        <v>33</v>
      </c>
      <c r="W55" s="23"/>
      <c r="X55" s="10" t="s">
        <v>1585</v>
      </c>
      <c r="Y55" s="10" t="s">
        <v>32</v>
      </c>
      <c r="Z55" s="10" t="str">
        <f>_xlfn.DISPIMG("ID_C0149EF4BDD949DD8A9555AF07584E1C",1)</f>
        <v>=DISPIMG("ID_C0149EF4BDD949DD8A9555AF07584E1C",1)</v>
      </c>
      <c r="AA55" s="10" t="s">
        <v>34</v>
      </c>
      <c r="AB55" s="10" t="s">
        <v>1586</v>
      </c>
      <c r="AC55" s="10"/>
    </row>
    <row r="56" s="2" customFormat="1" ht="60" hidden="1" spans="1:29">
      <c r="A56" s="10" t="s">
        <v>1426</v>
      </c>
      <c r="B56" s="11" t="s">
        <v>1582</v>
      </c>
      <c r="C56" s="10" t="s">
        <v>1450</v>
      </c>
      <c r="D56" s="10" t="s">
        <v>1587</v>
      </c>
      <c r="E56" s="12"/>
      <c r="F56" s="13"/>
      <c r="G56" s="13"/>
      <c r="H56" s="14" t="s">
        <v>1587</v>
      </c>
      <c r="I56" s="10"/>
      <c r="J56" s="10"/>
      <c r="K56" s="10"/>
      <c r="L56" s="10"/>
      <c r="M56" s="10"/>
      <c r="N56" s="10"/>
      <c r="O56" s="10"/>
      <c r="P56" s="10"/>
      <c r="Q56" s="10"/>
      <c r="R56" s="10"/>
      <c r="S56" s="10" t="s">
        <v>1588</v>
      </c>
      <c r="T56" s="10" t="s">
        <v>32</v>
      </c>
      <c r="U56" s="10" t="s">
        <v>1588</v>
      </c>
      <c r="V56" s="10" t="s">
        <v>33</v>
      </c>
      <c r="W56" s="23"/>
      <c r="X56" s="10" t="s">
        <v>1588</v>
      </c>
      <c r="Y56" s="10" t="s">
        <v>32</v>
      </c>
      <c r="Z56" s="10" t="str">
        <f>_xlfn.DISPIMG("ID_4AF19A16F290418283AAD081E5D7E795",1)</f>
        <v>=DISPIMG("ID_4AF19A16F290418283AAD081E5D7E795",1)</v>
      </c>
      <c r="AA56" s="10" t="s">
        <v>34</v>
      </c>
      <c r="AB56" s="10" t="s">
        <v>1589</v>
      </c>
      <c r="AC56" s="10"/>
    </row>
    <row r="57" s="2" customFormat="1" ht="49.5" hidden="1" spans="1:29">
      <c r="A57" s="10" t="s">
        <v>1426</v>
      </c>
      <c r="B57" s="11" t="s">
        <v>1582</v>
      </c>
      <c r="C57" s="10" t="s">
        <v>1450</v>
      </c>
      <c r="D57" s="10" t="s">
        <v>1587</v>
      </c>
      <c r="E57" s="12"/>
      <c r="F57" s="13"/>
      <c r="G57" s="13"/>
      <c r="H57" s="15"/>
      <c r="I57" s="10"/>
      <c r="J57" s="10"/>
      <c r="K57" s="10"/>
      <c r="L57" s="10"/>
      <c r="M57" s="10"/>
      <c r="N57" s="10"/>
      <c r="O57" s="10"/>
      <c r="P57" s="10"/>
      <c r="Q57" s="10"/>
      <c r="R57" s="10"/>
      <c r="S57" s="10" t="s">
        <v>1590</v>
      </c>
      <c r="T57" s="10" t="s">
        <v>32</v>
      </c>
      <c r="U57" s="10" t="s">
        <v>1590</v>
      </c>
      <c r="V57" s="10" t="s">
        <v>33</v>
      </c>
      <c r="W57" s="23"/>
      <c r="X57" s="10" t="s">
        <v>1590</v>
      </c>
      <c r="Y57" s="10" t="s">
        <v>32</v>
      </c>
      <c r="Z57" s="10"/>
      <c r="AA57" s="10" t="s">
        <v>34</v>
      </c>
      <c r="AB57" s="10" t="s">
        <v>1591</v>
      </c>
      <c r="AC57" s="10"/>
    </row>
    <row r="58" s="2" customFormat="1" ht="60" hidden="1" spans="1:29">
      <c r="A58" s="10" t="s">
        <v>1426</v>
      </c>
      <c r="B58" s="11" t="s">
        <v>1582</v>
      </c>
      <c r="C58" s="10" t="s">
        <v>1450</v>
      </c>
      <c r="D58" s="10" t="s">
        <v>1587</v>
      </c>
      <c r="E58" s="12"/>
      <c r="F58" s="13"/>
      <c r="G58" s="13"/>
      <c r="H58" s="16"/>
      <c r="I58" s="10"/>
      <c r="J58" s="10"/>
      <c r="K58" s="10"/>
      <c r="L58" s="10"/>
      <c r="M58" s="10"/>
      <c r="N58" s="10"/>
      <c r="O58" s="10"/>
      <c r="P58" s="10"/>
      <c r="Q58" s="10"/>
      <c r="R58" s="10"/>
      <c r="S58" s="10" t="s">
        <v>1592</v>
      </c>
      <c r="T58" s="10" t="s">
        <v>32</v>
      </c>
      <c r="U58" s="10" t="s">
        <v>1592</v>
      </c>
      <c r="V58" s="10" t="s">
        <v>33</v>
      </c>
      <c r="W58" s="23"/>
      <c r="X58" s="10" t="s">
        <v>1592</v>
      </c>
      <c r="Y58" s="10" t="s">
        <v>32</v>
      </c>
      <c r="Z58" s="10" t="str">
        <f>_xlfn.DISPIMG("ID_1266F11424BC4B3C90917FF5BFAB863E",1)</f>
        <v>=DISPIMG("ID_1266F11424BC4B3C90917FF5BFAB863E",1)</v>
      </c>
      <c r="AA58" s="10" t="s">
        <v>34</v>
      </c>
      <c r="AB58" s="10" t="s">
        <v>1593</v>
      </c>
      <c r="AC58" s="10"/>
    </row>
    <row r="59" s="2" customFormat="1" ht="60" hidden="1" spans="1:29">
      <c r="A59" s="10" t="s">
        <v>1426</v>
      </c>
      <c r="B59" s="11" t="s">
        <v>1582</v>
      </c>
      <c r="C59" s="10" t="s">
        <v>1594</v>
      </c>
      <c r="D59" s="10" t="s">
        <v>1594</v>
      </c>
      <c r="E59" s="12"/>
      <c r="F59" s="13"/>
      <c r="G59" s="13"/>
      <c r="H59" s="10" t="s">
        <v>1594</v>
      </c>
      <c r="I59" s="10"/>
      <c r="J59" s="10"/>
      <c r="K59" s="10"/>
      <c r="L59" s="10"/>
      <c r="M59" s="10"/>
      <c r="N59" s="10"/>
      <c r="O59" s="10"/>
      <c r="P59" s="10"/>
      <c r="Q59" s="10"/>
      <c r="R59" s="10"/>
      <c r="S59" s="10" t="s">
        <v>1595</v>
      </c>
      <c r="T59" s="10" t="s">
        <v>32</v>
      </c>
      <c r="U59" s="10" t="s">
        <v>1595</v>
      </c>
      <c r="V59" s="10" t="s">
        <v>33</v>
      </c>
      <c r="W59" s="23"/>
      <c r="X59" s="10" t="s">
        <v>1595</v>
      </c>
      <c r="Y59" s="10" t="s">
        <v>32</v>
      </c>
      <c r="Z59" s="10" t="str">
        <f>_xlfn.DISPIMG("ID_E3006F63DAD84C5EB6A3C968F6983F0C",1)</f>
        <v>=DISPIMG("ID_E3006F63DAD84C5EB6A3C968F6983F0C",1)</v>
      </c>
      <c r="AA59" s="10" t="s">
        <v>34</v>
      </c>
      <c r="AB59" s="10" t="s">
        <v>1596</v>
      </c>
      <c r="AC59" s="10"/>
    </row>
    <row r="60" s="2" customFormat="1" ht="60" hidden="1" spans="1:29">
      <c r="A60" s="10" t="s">
        <v>1426</v>
      </c>
      <c r="B60" s="11" t="s">
        <v>1582</v>
      </c>
      <c r="C60" s="10" t="s">
        <v>1597</v>
      </c>
      <c r="D60" s="10" t="s">
        <v>1597</v>
      </c>
      <c r="E60" s="12"/>
      <c r="F60" s="13"/>
      <c r="G60" s="13"/>
      <c r="H60" s="10" t="s">
        <v>1597</v>
      </c>
      <c r="I60" s="10"/>
      <c r="J60" s="10"/>
      <c r="K60" s="10"/>
      <c r="L60" s="10"/>
      <c r="M60" s="10"/>
      <c r="N60" s="10"/>
      <c r="O60" s="10"/>
      <c r="P60" s="10"/>
      <c r="Q60" s="10"/>
      <c r="R60" s="10"/>
      <c r="S60" s="10" t="s">
        <v>1598</v>
      </c>
      <c r="T60" s="10" t="s">
        <v>32</v>
      </c>
      <c r="U60" s="10" t="s">
        <v>1598</v>
      </c>
      <c r="V60" s="10" t="s">
        <v>33</v>
      </c>
      <c r="W60" s="23"/>
      <c r="X60" s="10" t="s">
        <v>1598</v>
      </c>
      <c r="Y60" s="10" t="s">
        <v>32</v>
      </c>
      <c r="Z60" s="10" t="str">
        <f>_xlfn.DISPIMG("ID_EBE4BB20F108413DB0AB44C6EAC9CFBA",1)</f>
        <v>=DISPIMG("ID_EBE4BB20F108413DB0AB44C6EAC9CFBA",1)</v>
      </c>
      <c r="AA60" s="10" t="s">
        <v>34</v>
      </c>
      <c r="AB60" s="10" t="s">
        <v>1599</v>
      </c>
      <c r="AC60" s="10"/>
    </row>
    <row r="61" s="2" customFormat="1" ht="60" hidden="1" spans="1:29">
      <c r="A61" s="10" t="s">
        <v>1426</v>
      </c>
      <c r="B61" s="11" t="s">
        <v>1582</v>
      </c>
      <c r="C61" s="10" t="s">
        <v>1600</v>
      </c>
      <c r="D61" s="10" t="s">
        <v>1600</v>
      </c>
      <c r="E61" s="12"/>
      <c r="F61" s="13"/>
      <c r="G61" s="13"/>
      <c r="H61" s="10" t="s">
        <v>1600</v>
      </c>
      <c r="I61" s="10"/>
      <c r="J61" s="10"/>
      <c r="K61" s="10"/>
      <c r="L61" s="10"/>
      <c r="M61" s="10"/>
      <c r="N61" s="10"/>
      <c r="O61" s="10"/>
      <c r="P61" s="10"/>
      <c r="Q61" s="10"/>
      <c r="R61" s="10"/>
      <c r="S61" s="10" t="s">
        <v>1601</v>
      </c>
      <c r="T61" s="10" t="s">
        <v>68</v>
      </c>
      <c r="U61" s="28" t="s">
        <v>1602</v>
      </c>
      <c r="V61" s="28" t="s">
        <v>269</v>
      </c>
      <c r="W61" s="23"/>
      <c r="X61" s="10" t="s">
        <v>1601</v>
      </c>
      <c r="Y61" s="10" t="s">
        <v>68</v>
      </c>
      <c r="Z61" s="10" t="str">
        <f>_xlfn.DISPIMG("ID_726BE09243F043A9BA87488718D3D6CE",1)</f>
        <v>=DISPIMG("ID_726BE09243F043A9BA87488718D3D6CE",1)</v>
      </c>
      <c r="AA61" s="10" t="s">
        <v>1431</v>
      </c>
      <c r="AB61" s="10" t="s">
        <v>1529</v>
      </c>
      <c r="AC61" s="10"/>
    </row>
    <row r="62" s="2" customFormat="1" ht="49.5" hidden="1" spans="1:29">
      <c r="A62" s="10" t="s">
        <v>1426</v>
      </c>
      <c r="B62" s="11" t="s">
        <v>1582</v>
      </c>
      <c r="C62" s="10" t="s">
        <v>1603</v>
      </c>
      <c r="D62" s="10" t="s">
        <v>1603</v>
      </c>
      <c r="E62" s="12"/>
      <c r="F62" s="13"/>
      <c r="G62" s="13"/>
      <c r="H62" s="10" t="s">
        <v>1603</v>
      </c>
      <c r="I62" s="10"/>
      <c r="J62" s="10"/>
      <c r="K62" s="10"/>
      <c r="L62" s="10"/>
      <c r="M62" s="10"/>
      <c r="N62" s="10"/>
      <c r="O62" s="10"/>
      <c r="P62" s="10"/>
      <c r="Q62" s="10"/>
      <c r="R62" s="10"/>
      <c r="S62" s="10" t="s">
        <v>1604</v>
      </c>
      <c r="T62" s="10" t="s">
        <v>68</v>
      </c>
      <c r="U62" s="28" t="s">
        <v>1605</v>
      </c>
      <c r="V62" s="28" t="s">
        <v>269</v>
      </c>
      <c r="W62" s="23"/>
      <c r="X62" s="10" t="s">
        <v>1604</v>
      </c>
      <c r="Y62" s="10" t="s">
        <v>68</v>
      </c>
      <c r="Z62" s="10" t="str">
        <f>_xlfn.DISPIMG("ID_4F9572CEB607495ABB2CE929FF12D6F7",1)</f>
        <v>=DISPIMG("ID_4F9572CEB607495ABB2CE929FF12D6F7",1)</v>
      </c>
      <c r="AA62" s="10" t="s">
        <v>1431</v>
      </c>
      <c r="AB62" s="10" t="s">
        <v>1529</v>
      </c>
      <c r="AC62" s="10"/>
    </row>
    <row r="63" s="2" customFormat="1" ht="49.5" hidden="1" spans="1:29">
      <c r="A63" s="10" t="s">
        <v>1426</v>
      </c>
      <c r="B63" s="11" t="s">
        <v>1606</v>
      </c>
      <c r="C63" s="10" t="s">
        <v>1606</v>
      </c>
      <c r="D63" s="10" t="s">
        <v>1606</v>
      </c>
      <c r="E63" s="12"/>
      <c r="F63" s="13"/>
      <c r="G63" s="13"/>
      <c r="H63" s="14" t="s">
        <v>1606</v>
      </c>
      <c r="I63" s="10"/>
      <c r="J63" s="10"/>
      <c r="K63" s="10"/>
      <c r="L63" s="10"/>
      <c r="M63" s="10"/>
      <c r="N63" s="10"/>
      <c r="O63" s="10"/>
      <c r="P63" s="10"/>
      <c r="Q63" s="10"/>
      <c r="R63" s="10"/>
      <c r="S63" s="10" t="s">
        <v>1607</v>
      </c>
      <c r="T63" s="10" t="s">
        <v>68</v>
      </c>
      <c r="U63" s="28" t="s">
        <v>1608</v>
      </c>
      <c r="V63" s="28" t="s">
        <v>269</v>
      </c>
      <c r="W63" s="23"/>
      <c r="X63" s="10" t="s">
        <v>1607</v>
      </c>
      <c r="Y63" s="10" t="s">
        <v>68</v>
      </c>
      <c r="Z63" s="10" t="str">
        <f>_xlfn.DISPIMG("ID_318EBD5FC47C4A238EE609C80341D9AD",1)</f>
        <v>=DISPIMG("ID_318EBD5FC47C4A238EE609C80341D9AD",1)</v>
      </c>
      <c r="AA63" s="10" t="s">
        <v>1431</v>
      </c>
      <c r="AB63" s="10" t="s">
        <v>1529</v>
      </c>
      <c r="AC63" s="10"/>
    </row>
    <row r="64" s="2" customFormat="1" ht="49.5" hidden="1" spans="1:29">
      <c r="A64" s="10" t="s">
        <v>1426</v>
      </c>
      <c r="B64" s="11" t="s">
        <v>1606</v>
      </c>
      <c r="C64" s="10" t="s">
        <v>1606</v>
      </c>
      <c r="D64" s="10" t="s">
        <v>1606</v>
      </c>
      <c r="E64" s="12"/>
      <c r="F64" s="13"/>
      <c r="G64" s="13"/>
      <c r="H64" s="15"/>
      <c r="I64" s="10"/>
      <c r="J64" s="10"/>
      <c r="K64" s="10"/>
      <c r="L64" s="10"/>
      <c r="M64" s="10"/>
      <c r="N64" s="10"/>
      <c r="O64" s="10"/>
      <c r="P64" s="10"/>
      <c r="Q64" s="10"/>
      <c r="R64" s="10"/>
      <c r="S64" s="10" t="s">
        <v>1609</v>
      </c>
      <c r="T64" s="10" t="s">
        <v>32</v>
      </c>
      <c r="U64" s="10" t="s">
        <v>1609</v>
      </c>
      <c r="V64" s="10" t="s">
        <v>33</v>
      </c>
      <c r="W64" s="23"/>
      <c r="X64" s="10" t="s">
        <v>1609</v>
      </c>
      <c r="Y64" s="10" t="s">
        <v>32</v>
      </c>
      <c r="Z64" s="10"/>
      <c r="AA64" s="10" t="s">
        <v>34</v>
      </c>
      <c r="AB64" s="10" t="s">
        <v>1610</v>
      </c>
      <c r="AC64" s="10"/>
    </row>
    <row r="65" s="2" customFormat="1" ht="231" hidden="1" spans="1:29">
      <c r="A65" s="10" t="s">
        <v>1426</v>
      </c>
      <c r="B65" s="11" t="s">
        <v>1606</v>
      </c>
      <c r="C65" s="10" t="s">
        <v>1606</v>
      </c>
      <c r="D65" s="10" t="s">
        <v>1606</v>
      </c>
      <c r="E65" s="12"/>
      <c r="F65" s="13"/>
      <c r="G65" s="13"/>
      <c r="H65" s="16"/>
      <c r="I65" s="10"/>
      <c r="J65" s="10"/>
      <c r="K65" s="10"/>
      <c r="L65" s="10"/>
      <c r="M65" s="10"/>
      <c r="N65" s="10"/>
      <c r="O65" s="10"/>
      <c r="P65" s="10"/>
      <c r="Q65" s="10"/>
      <c r="R65" s="10"/>
      <c r="S65" s="10" t="s">
        <v>1611</v>
      </c>
      <c r="T65" s="10" t="s">
        <v>68</v>
      </c>
      <c r="U65" s="28" t="s">
        <v>1612</v>
      </c>
      <c r="V65" s="28" t="s">
        <v>269</v>
      </c>
      <c r="W65" s="23"/>
      <c r="X65" s="10" t="s">
        <v>1611</v>
      </c>
      <c r="Y65" s="10" t="s">
        <v>68</v>
      </c>
      <c r="Z65" s="10" t="str">
        <f>_xlfn.DISPIMG("ID_7C5A187B70094BB8B62553B488FEBE35",1)</f>
        <v>=DISPIMG("ID_7C5A187B70094BB8B62553B488FEBE35",1)</v>
      </c>
      <c r="AA65" s="10" t="s">
        <v>1431</v>
      </c>
      <c r="AB65" s="10" t="s">
        <v>1613</v>
      </c>
      <c r="AC65" s="10"/>
    </row>
    <row r="66" s="2" customFormat="1" ht="49.5" hidden="1" spans="1:29">
      <c r="A66" s="10" t="s">
        <v>1426</v>
      </c>
      <c r="B66" s="11" t="s">
        <v>1614</v>
      </c>
      <c r="C66" s="10" t="s">
        <v>1615</v>
      </c>
      <c r="D66" s="10" t="s">
        <v>1615</v>
      </c>
      <c r="E66" s="12"/>
      <c r="F66" s="13"/>
      <c r="G66" s="13"/>
      <c r="H66" s="14" t="s">
        <v>1615</v>
      </c>
      <c r="I66" s="10"/>
      <c r="J66" s="10"/>
      <c r="K66" s="10"/>
      <c r="L66" s="10"/>
      <c r="M66" s="10"/>
      <c r="N66" s="10"/>
      <c r="O66" s="10"/>
      <c r="P66" s="10"/>
      <c r="Q66" s="10"/>
      <c r="R66" s="10"/>
      <c r="S66" s="10" t="s">
        <v>1616</v>
      </c>
      <c r="T66" s="10" t="s">
        <v>68</v>
      </c>
      <c r="U66" s="10" t="s">
        <v>1616</v>
      </c>
      <c r="V66" s="10" t="s">
        <v>33</v>
      </c>
      <c r="W66" s="23"/>
      <c r="X66" s="10" t="s">
        <v>1616</v>
      </c>
      <c r="Y66" s="10" t="s">
        <v>68</v>
      </c>
      <c r="Z66" s="10" t="str">
        <f>_xlfn.DISPIMG("ID_D294CD1870A24B42A86238D4D776DD4D",1)</f>
        <v>=DISPIMG("ID_D294CD1870A24B42A86238D4D776DD4D",1)</v>
      </c>
      <c r="AA66" s="10" t="s">
        <v>1431</v>
      </c>
      <c r="AB66" s="10" t="s">
        <v>1529</v>
      </c>
      <c r="AC66" s="10"/>
    </row>
    <row r="67" s="2" customFormat="1" ht="60" hidden="1" spans="1:29">
      <c r="A67" s="10" t="s">
        <v>1426</v>
      </c>
      <c r="B67" s="11" t="s">
        <v>1614</v>
      </c>
      <c r="C67" s="10" t="s">
        <v>1615</v>
      </c>
      <c r="D67" s="10" t="s">
        <v>1615</v>
      </c>
      <c r="E67" s="12"/>
      <c r="F67" s="13"/>
      <c r="G67" s="13"/>
      <c r="H67" s="16"/>
      <c r="I67" s="10"/>
      <c r="J67" s="10"/>
      <c r="K67" s="10"/>
      <c r="L67" s="10"/>
      <c r="M67" s="10"/>
      <c r="N67" s="10"/>
      <c r="O67" s="10"/>
      <c r="P67" s="10"/>
      <c r="Q67" s="10"/>
      <c r="R67" s="10"/>
      <c r="S67" s="10" t="s">
        <v>1617</v>
      </c>
      <c r="T67" s="10" t="s">
        <v>68</v>
      </c>
      <c r="U67" s="10" t="s">
        <v>1617</v>
      </c>
      <c r="V67" s="10" t="s">
        <v>33</v>
      </c>
      <c r="W67" s="23"/>
      <c r="X67" s="10" t="s">
        <v>1617</v>
      </c>
      <c r="Y67" s="10" t="s">
        <v>68</v>
      </c>
      <c r="Z67" s="10" t="str">
        <f>_xlfn.DISPIMG("ID_CAEF74AAE6E747A78015C52D0747B2E0",1)</f>
        <v>=DISPIMG("ID_CAEF74AAE6E747A78015C52D0747B2E0",1)</v>
      </c>
      <c r="AA67" s="10" t="s">
        <v>1431</v>
      </c>
      <c r="AB67" s="10" t="s">
        <v>1529</v>
      </c>
      <c r="AC67" s="10"/>
    </row>
    <row r="68" s="2" customFormat="1" ht="66" hidden="1" spans="1:29">
      <c r="A68" s="10" t="s">
        <v>1426</v>
      </c>
      <c r="B68" s="11" t="s">
        <v>1614</v>
      </c>
      <c r="C68" s="10" t="s">
        <v>1618</v>
      </c>
      <c r="D68" s="10" t="s">
        <v>1618</v>
      </c>
      <c r="E68" s="12"/>
      <c r="F68" s="13"/>
      <c r="G68" s="13"/>
      <c r="H68" s="14" t="s">
        <v>1618</v>
      </c>
      <c r="I68" s="10"/>
      <c r="J68" s="10"/>
      <c r="K68" s="10"/>
      <c r="L68" s="10"/>
      <c r="M68" s="10"/>
      <c r="N68" s="10"/>
      <c r="O68" s="10"/>
      <c r="P68" s="10"/>
      <c r="Q68" s="10"/>
      <c r="R68" s="10"/>
      <c r="S68" s="10" t="s">
        <v>1619</v>
      </c>
      <c r="T68" s="10" t="s">
        <v>32</v>
      </c>
      <c r="U68" s="10" t="s">
        <v>1619</v>
      </c>
      <c r="V68" s="10" t="s">
        <v>33</v>
      </c>
      <c r="W68" s="23"/>
      <c r="X68" s="10" t="s">
        <v>1619</v>
      </c>
      <c r="Y68" s="10" t="s">
        <v>32</v>
      </c>
      <c r="Z68" s="10"/>
      <c r="AA68" s="10" t="s">
        <v>34</v>
      </c>
      <c r="AB68" s="10" t="s">
        <v>1620</v>
      </c>
      <c r="AC68" s="10"/>
    </row>
    <row r="69" s="2" customFormat="1" ht="60" hidden="1" spans="1:29">
      <c r="A69" s="10" t="s">
        <v>1426</v>
      </c>
      <c r="B69" s="11" t="s">
        <v>1614</v>
      </c>
      <c r="C69" s="10" t="s">
        <v>1618</v>
      </c>
      <c r="D69" s="10" t="s">
        <v>1618</v>
      </c>
      <c r="E69" s="12"/>
      <c r="F69" s="13"/>
      <c r="G69" s="13"/>
      <c r="H69" s="15"/>
      <c r="I69" s="10"/>
      <c r="J69" s="10"/>
      <c r="K69" s="10"/>
      <c r="L69" s="10"/>
      <c r="M69" s="10"/>
      <c r="N69" s="10"/>
      <c r="O69" s="10"/>
      <c r="P69" s="10"/>
      <c r="Q69" s="10"/>
      <c r="R69" s="10"/>
      <c r="S69" s="10" t="s">
        <v>1621</v>
      </c>
      <c r="T69" s="10" t="s">
        <v>68</v>
      </c>
      <c r="U69" s="38"/>
      <c r="V69" s="10"/>
      <c r="W69" s="23"/>
      <c r="X69" s="10" t="s">
        <v>1621</v>
      </c>
      <c r="Y69" s="10" t="s">
        <v>68</v>
      </c>
      <c r="Z69" s="10" t="str">
        <f>_xlfn.DISPIMG("ID_7B2FAFD9CC9B4A4E966272B2A27CC1A0",1)</f>
        <v>=DISPIMG("ID_7B2FAFD9CC9B4A4E966272B2A27CC1A0",1)</v>
      </c>
      <c r="AA69" s="10" t="s">
        <v>1431</v>
      </c>
      <c r="AB69" s="10" t="s">
        <v>1529</v>
      </c>
      <c r="AC69" s="10"/>
    </row>
    <row r="70" s="2" customFormat="1" ht="66" hidden="1" spans="1:29">
      <c r="A70" s="10" t="s">
        <v>1426</v>
      </c>
      <c r="B70" s="11" t="s">
        <v>1614</v>
      </c>
      <c r="C70" s="10" t="s">
        <v>1618</v>
      </c>
      <c r="D70" s="10" t="s">
        <v>1618</v>
      </c>
      <c r="E70" s="12"/>
      <c r="F70" s="13"/>
      <c r="G70" s="13"/>
      <c r="H70" s="15"/>
      <c r="I70" s="10"/>
      <c r="J70" s="10"/>
      <c r="K70" s="10"/>
      <c r="L70" s="10"/>
      <c r="M70" s="10"/>
      <c r="N70" s="10"/>
      <c r="O70" s="10"/>
      <c r="P70" s="10"/>
      <c r="Q70" s="10"/>
      <c r="R70" s="10"/>
      <c r="S70" s="10" t="s">
        <v>1622</v>
      </c>
      <c r="T70" s="10" t="s">
        <v>32</v>
      </c>
      <c r="U70" s="10" t="s">
        <v>1622</v>
      </c>
      <c r="V70" s="10" t="s">
        <v>33</v>
      </c>
      <c r="W70" s="23"/>
      <c r="X70" s="10" t="s">
        <v>1622</v>
      </c>
      <c r="Y70" s="10" t="s">
        <v>32</v>
      </c>
      <c r="Z70" s="10"/>
      <c r="AA70" s="10" t="s">
        <v>34</v>
      </c>
      <c r="AB70" s="10" t="s">
        <v>1623</v>
      </c>
      <c r="AC70" s="10"/>
    </row>
    <row r="71" s="2" customFormat="1" ht="60" hidden="1" spans="1:29">
      <c r="A71" s="10" t="s">
        <v>1426</v>
      </c>
      <c r="B71" s="11" t="s">
        <v>1614</v>
      </c>
      <c r="C71" s="10" t="s">
        <v>1618</v>
      </c>
      <c r="D71" s="10" t="s">
        <v>1618</v>
      </c>
      <c r="E71" s="12"/>
      <c r="F71" s="13"/>
      <c r="G71" s="13"/>
      <c r="H71" s="15"/>
      <c r="I71" s="10"/>
      <c r="J71" s="10"/>
      <c r="K71" s="10"/>
      <c r="L71" s="10"/>
      <c r="M71" s="10"/>
      <c r="N71" s="10"/>
      <c r="O71" s="10"/>
      <c r="P71" s="10"/>
      <c r="Q71" s="10"/>
      <c r="R71" s="10"/>
      <c r="S71" s="10" t="s">
        <v>1624</v>
      </c>
      <c r="T71" s="10" t="s">
        <v>68</v>
      </c>
      <c r="U71" s="28" t="s">
        <v>1625</v>
      </c>
      <c r="V71" s="10" t="s">
        <v>33</v>
      </c>
      <c r="W71" s="23"/>
      <c r="X71" s="10" t="s">
        <v>1624</v>
      </c>
      <c r="Y71" s="10" t="s">
        <v>68</v>
      </c>
      <c r="Z71" s="10" t="str">
        <f>_xlfn.DISPIMG("ID_12A8E8F5AB4B46EDAD2210FA3F4C64BD",1)</f>
        <v>=DISPIMG("ID_12A8E8F5AB4B46EDAD2210FA3F4C64BD",1)</v>
      </c>
      <c r="AA71" s="10" t="s">
        <v>1431</v>
      </c>
      <c r="AB71" s="10" t="s">
        <v>1529</v>
      </c>
      <c r="AC71" s="10"/>
    </row>
    <row r="72" s="2" customFormat="1" ht="165" hidden="1" spans="1:29">
      <c r="A72" s="10" t="s">
        <v>1426</v>
      </c>
      <c r="B72" s="11" t="s">
        <v>1614</v>
      </c>
      <c r="C72" s="10" t="s">
        <v>1618</v>
      </c>
      <c r="D72" s="10" t="s">
        <v>1618</v>
      </c>
      <c r="E72" s="12"/>
      <c r="F72" s="13"/>
      <c r="G72" s="13"/>
      <c r="H72" s="16"/>
      <c r="I72" s="10"/>
      <c r="J72" s="10"/>
      <c r="K72" s="10"/>
      <c r="L72" s="10"/>
      <c r="M72" s="10"/>
      <c r="N72" s="10"/>
      <c r="O72" s="10"/>
      <c r="P72" s="10"/>
      <c r="Q72" s="10"/>
      <c r="R72" s="10"/>
      <c r="S72" s="10" t="s">
        <v>1626</v>
      </c>
      <c r="T72" s="10" t="s">
        <v>68</v>
      </c>
      <c r="U72" s="28" t="s">
        <v>1627</v>
      </c>
      <c r="V72" s="28" t="s">
        <v>1628</v>
      </c>
      <c r="W72" s="23"/>
      <c r="X72" s="10" t="s">
        <v>1626</v>
      </c>
      <c r="Y72" s="10" t="s">
        <v>68</v>
      </c>
      <c r="Z72" s="10" t="str">
        <f>_xlfn.DISPIMG("ID_9035E38C43FD4D5798BF0C536F86621C",1)</f>
        <v>=DISPIMG("ID_9035E38C43FD4D5798BF0C536F86621C",1)</v>
      </c>
      <c r="AA72" s="10" t="s">
        <v>1431</v>
      </c>
      <c r="AB72" s="10" t="s">
        <v>1629</v>
      </c>
      <c r="AC72" s="10"/>
    </row>
    <row r="73" s="2" customFormat="1" ht="132" hidden="1" spans="1:29">
      <c r="A73" s="10" t="s">
        <v>1426</v>
      </c>
      <c r="B73" s="11" t="s">
        <v>1614</v>
      </c>
      <c r="C73" s="10" t="s">
        <v>1630</v>
      </c>
      <c r="D73" s="10" t="s">
        <v>1630</v>
      </c>
      <c r="E73" s="12"/>
      <c r="F73" s="13"/>
      <c r="G73" s="13"/>
      <c r="H73" s="14" t="s">
        <v>1630</v>
      </c>
      <c r="I73" s="10"/>
      <c r="J73" s="10"/>
      <c r="K73" s="10"/>
      <c r="L73" s="10"/>
      <c r="M73" s="10"/>
      <c r="N73" s="10"/>
      <c r="O73" s="10"/>
      <c r="P73" s="10"/>
      <c r="Q73" s="10"/>
      <c r="R73" s="10"/>
      <c r="S73" s="10" t="s">
        <v>1631</v>
      </c>
      <c r="T73" s="10" t="s">
        <v>68</v>
      </c>
      <c r="U73" s="39" t="s">
        <v>1632</v>
      </c>
      <c r="V73" s="28" t="s">
        <v>1633</v>
      </c>
      <c r="W73" s="23"/>
      <c r="X73" s="10" t="s">
        <v>1631</v>
      </c>
      <c r="Y73" s="10" t="s">
        <v>68</v>
      </c>
      <c r="Z73" s="10" t="str">
        <f>_xlfn.DISPIMG("ID_3547C8D18B34496FAE1FCFD09A3F8649",1)</f>
        <v>=DISPIMG("ID_3547C8D18B34496FAE1FCFD09A3F8649",1)</v>
      </c>
      <c r="AA73" s="10" t="s">
        <v>1431</v>
      </c>
      <c r="AB73" s="10" t="s">
        <v>1634</v>
      </c>
      <c r="AC73" s="10"/>
    </row>
    <row r="74" s="2" customFormat="1" ht="66" hidden="1" spans="1:29">
      <c r="A74" s="10" t="s">
        <v>1426</v>
      </c>
      <c r="B74" s="11" t="s">
        <v>1614</v>
      </c>
      <c r="C74" s="10" t="s">
        <v>1630</v>
      </c>
      <c r="D74" s="10" t="s">
        <v>1630</v>
      </c>
      <c r="E74" s="12"/>
      <c r="F74" s="13"/>
      <c r="G74" s="13"/>
      <c r="H74" s="16"/>
      <c r="I74" s="10"/>
      <c r="J74" s="10"/>
      <c r="K74" s="10"/>
      <c r="L74" s="10"/>
      <c r="M74" s="10"/>
      <c r="N74" s="10"/>
      <c r="O74" s="10"/>
      <c r="P74" s="10"/>
      <c r="Q74" s="10"/>
      <c r="R74" s="10"/>
      <c r="S74" s="10" t="s">
        <v>1635</v>
      </c>
      <c r="T74" s="10" t="s">
        <v>32</v>
      </c>
      <c r="U74" s="10" t="s">
        <v>1635</v>
      </c>
      <c r="V74" s="10" t="s">
        <v>33</v>
      </c>
      <c r="W74" s="23"/>
      <c r="X74" s="10" t="s">
        <v>1635</v>
      </c>
      <c r="Y74" s="10" t="s">
        <v>32</v>
      </c>
      <c r="Z74" s="10"/>
      <c r="AA74" s="10" t="s">
        <v>34</v>
      </c>
      <c r="AB74" s="10" t="s">
        <v>1636</v>
      </c>
      <c r="AC74" s="10"/>
    </row>
    <row r="75" s="2" customFormat="1" ht="49.5" hidden="1" spans="1:29">
      <c r="A75" s="10" t="s">
        <v>1426</v>
      </c>
      <c r="B75" s="11" t="s">
        <v>1614</v>
      </c>
      <c r="C75" s="10" t="s">
        <v>1637</v>
      </c>
      <c r="D75" s="10" t="s">
        <v>1637</v>
      </c>
      <c r="E75" s="12"/>
      <c r="F75" s="13"/>
      <c r="G75" s="13"/>
      <c r="H75" s="10" t="s">
        <v>1637</v>
      </c>
      <c r="I75" s="10"/>
      <c r="J75" s="10"/>
      <c r="K75" s="10"/>
      <c r="L75" s="10"/>
      <c r="M75" s="10"/>
      <c r="N75" s="10"/>
      <c r="O75" s="10"/>
      <c r="P75" s="10"/>
      <c r="Q75" s="10"/>
      <c r="R75" s="10"/>
      <c r="S75" s="10" t="s">
        <v>1637</v>
      </c>
      <c r="T75" s="10" t="s">
        <v>32</v>
      </c>
      <c r="U75" s="10" t="s">
        <v>1637</v>
      </c>
      <c r="V75" s="10" t="s">
        <v>33</v>
      </c>
      <c r="W75" s="23"/>
      <c r="X75" s="10" t="s">
        <v>1637</v>
      </c>
      <c r="Y75" s="10" t="s">
        <v>32</v>
      </c>
      <c r="Z75" s="10"/>
      <c r="AA75" s="10" t="s">
        <v>34</v>
      </c>
      <c r="AB75" s="10" t="s">
        <v>1638</v>
      </c>
      <c r="AC75" s="10"/>
    </row>
    <row r="76" s="2" customFormat="1" ht="66" spans="1:29">
      <c r="A76" s="10" t="s">
        <v>1426</v>
      </c>
      <c r="B76" s="11" t="s">
        <v>1639</v>
      </c>
      <c r="C76" s="10" t="s">
        <v>1640</v>
      </c>
      <c r="D76" s="10" t="s">
        <v>1640</v>
      </c>
      <c r="E76" s="12"/>
      <c r="F76" s="13"/>
      <c r="G76" s="13"/>
      <c r="H76" s="10" t="s">
        <v>1640</v>
      </c>
      <c r="I76" s="10"/>
      <c r="J76" s="10"/>
      <c r="K76" s="10"/>
      <c r="L76" s="10"/>
      <c r="M76" s="10"/>
      <c r="N76" s="10"/>
      <c r="O76" s="10"/>
      <c r="P76" s="10"/>
      <c r="Q76" s="10"/>
      <c r="R76" s="10"/>
      <c r="S76" s="10" t="s">
        <v>1641</v>
      </c>
      <c r="T76" s="10" t="s">
        <v>32</v>
      </c>
      <c r="U76" s="10" t="s">
        <v>1641</v>
      </c>
      <c r="V76" s="10" t="s">
        <v>33</v>
      </c>
      <c r="W76" s="23"/>
      <c r="X76" s="10" t="s">
        <v>1641</v>
      </c>
      <c r="Y76" s="10" t="s">
        <v>32</v>
      </c>
      <c r="Z76" s="10" t="str">
        <f>_xlfn.DISPIMG("ID_A41F38C3301D412C876BDD3A30B32CB9",1)</f>
        <v>=DISPIMG("ID_A41F38C3301D412C876BDD3A30B32CB9",1)</v>
      </c>
      <c r="AA76" s="10" t="s">
        <v>34</v>
      </c>
      <c r="AB76" s="10" t="s">
        <v>1642</v>
      </c>
      <c r="AC76" s="10"/>
    </row>
    <row r="77" s="2" customFormat="1" ht="49.5" spans="1:29">
      <c r="A77" s="10" t="s">
        <v>1426</v>
      </c>
      <c r="B77" s="11" t="s">
        <v>1639</v>
      </c>
      <c r="C77" s="10" t="s">
        <v>911</v>
      </c>
      <c r="D77" s="10" t="s">
        <v>911</v>
      </c>
      <c r="E77" s="12"/>
      <c r="F77" s="13"/>
      <c r="G77" s="13"/>
      <c r="H77" s="10" t="s">
        <v>911</v>
      </c>
      <c r="I77" s="10"/>
      <c r="J77" s="10"/>
      <c r="K77" s="10"/>
      <c r="L77" s="10"/>
      <c r="M77" s="10"/>
      <c r="N77" s="10"/>
      <c r="O77" s="10"/>
      <c r="P77" s="10"/>
      <c r="Q77" s="10"/>
      <c r="R77" s="10"/>
      <c r="S77" s="10" t="s">
        <v>1643</v>
      </c>
      <c r="T77" s="10" t="s">
        <v>32</v>
      </c>
      <c r="U77" s="10" t="s">
        <v>1643</v>
      </c>
      <c r="V77" s="10" t="s">
        <v>33</v>
      </c>
      <c r="W77" s="23"/>
      <c r="X77" s="10" t="s">
        <v>1643</v>
      </c>
      <c r="Y77" s="10" t="s">
        <v>32</v>
      </c>
      <c r="Z77" s="10" t="str">
        <f>_xlfn.DISPIMG("ID_166E77D83B5141388F0649DC90857075",1)</f>
        <v>=DISPIMG("ID_166E77D83B5141388F0649DC90857075",1)</v>
      </c>
      <c r="AA77" s="10" t="s">
        <v>34</v>
      </c>
      <c r="AB77" s="10" t="s">
        <v>1644</v>
      </c>
      <c r="AC77" s="10"/>
    </row>
    <row r="78" s="2" customFormat="1" spans="1:29">
      <c r="A78" s="10"/>
      <c r="B78" s="11"/>
      <c r="C78" s="10"/>
      <c r="D78" s="10"/>
      <c r="E78" s="12"/>
      <c r="F78" s="10"/>
      <c r="G78" s="13"/>
      <c r="H78" s="17"/>
      <c r="I78" s="10"/>
      <c r="J78" s="10"/>
      <c r="K78" s="10"/>
      <c r="L78" s="10"/>
      <c r="M78" s="10"/>
      <c r="N78" s="10"/>
      <c r="O78" s="10"/>
      <c r="P78" s="10"/>
      <c r="Q78" s="10"/>
      <c r="R78" s="10"/>
      <c r="S78" s="10"/>
      <c r="T78" s="10"/>
      <c r="U78" s="13"/>
      <c r="V78" s="10"/>
      <c r="W78" s="23"/>
      <c r="X78" s="10"/>
      <c r="Y78" s="10"/>
      <c r="Z78" s="10"/>
      <c r="AA78" s="10"/>
      <c r="AB78" s="10"/>
      <c r="AC78" s="10"/>
    </row>
    <row r="79" s="2" customFormat="1" spans="1:29">
      <c r="A79" s="10"/>
      <c r="B79" s="11"/>
      <c r="C79" s="10"/>
      <c r="D79" s="10"/>
      <c r="E79" s="12"/>
      <c r="F79" s="10"/>
      <c r="G79" s="13"/>
      <c r="H79" s="17"/>
      <c r="I79" s="10"/>
      <c r="J79" s="10"/>
      <c r="K79" s="10"/>
      <c r="L79" s="10"/>
      <c r="M79" s="10"/>
      <c r="N79" s="10"/>
      <c r="O79" s="10"/>
      <c r="P79" s="10"/>
      <c r="Q79" s="10"/>
      <c r="R79" s="10"/>
      <c r="S79" s="10"/>
      <c r="T79" s="10"/>
      <c r="U79" s="13"/>
      <c r="V79" s="10"/>
      <c r="W79" s="23"/>
      <c r="X79" s="10"/>
      <c r="Y79" s="10"/>
      <c r="Z79" s="10"/>
      <c r="AA79" s="10"/>
      <c r="AB79" s="10"/>
      <c r="AC79" s="10"/>
    </row>
    <row r="80" s="2" customFormat="1" spans="1:29">
      <c r="A80" s="10"/>
      <c r="B80" s="11"/>
      <c r="C80" s="10"/>
      <c r="D80" s="10"/>
      <c r="E80" s="12"/>
      <c r="F80" s="10"/>
      <c r="G80" s="13"/>
      <c r="H80" s="17"/>
      <c r="I80" s="10"/>
      <c r="J80" s="10"/>
      <c r="K80" s="10"/>
      <c r="L80" s="10"/>
      <c r="M80" s="10"/>
      <c r="N80" s="10"/>
      <c r="O80" s="10"/>
      <c r="P80" s="10"/>
      <c r="Q80" s="10"/>
      <c r="R80" s="10"/>
      <c r="S80" s="10"/>
      <c r="T80" s="10"/>
      <c r="U80" s="13"/>
      <c r="V80" s="10"/>
      <c r="W80" s="23"/>
      <c r="X80" s="10"/>
      <c r="Y80" s="10"/>
      <c r="Z80" s="10"/>
      <c r="AA80" s="10"/>
      <c r="AB80" s="10"/>
      <c r="AC80" s="10"/>
    </row>
    <row r="81" s="2" customFormat="1" spans="1:29">
      <c r="A81" s="10"/>
      <c r="B81" s="11"/>
      <c r="C81" s="10"/>
      <c r="D81" s="10"/>
      <c r="E81" s="12"/>
      <c r="F81" s="10"/>
      <c r="G81" s="13"/>
      <c r="H81" s="17"/>
      <c r="I81" s="10"/>
      <c r="J81" s="10"/>
      <c r="K81" s="10"/>
      <c r="L81" s="10"/>
      <c r="M81" s="10"/>
      <c r="N81" s="10"/>
      <c r="O81" s="10"/>
      <c r="P81" s="10"/>
      <c r="Q81" s="10"/>
      <c r="R81" s="10"/>
      <c r="S81" s="10"/>
      <c r="T81" s="10"/>
      <c r="U81" s="13"/>
      <c r="V81" s="10"/>
      <c r="W81" s="23"/>
      <c r="X81" s="10"/>
      <c r="Y81" s="10"/>
      <c r="Z81" s="10"/>
      <c r="AA81" s="10"/>
      <c r="AB81" s="10"/>
      <c r="AC81" s="10"/>
    </row>
    <row r="82" s="2" customFormat="1" spans="1:29">
      <c r="A82" s="10"/>
      <c r="B82" s="11"/>
      <c r="C82" s="10"/>
      <c r="D82" s="10"/>
      <c r="E82" s="12"/>
      <c r="F82" s="10"/>
      <c r="G82" s="13"/>
      <c r="H82" s="17"/>
      <c r="I82" s="10"/>
      <c r="J82" s="10"/>
      <c r="K82" s="10"/>
      <c r="L82" s="10"/>
      <c r="M82" s="10"/>
      <c r="N82" s="10"/>
      <c r="O82" s="10"/>
      <c r="P82" s="10"/>
      <c r="Q82" s="10"/>
      <c r="R82" s="10"/>
      <c r="S82" s="10"/>
      <c r="T82" s="10"/>
      <c r="U82" s="13"/>
      <c r="V82" s="10"/>
      <c r="W82" s="23"/>
      <c r="X82" s="10"/>
      <c r="Y82" s="10"/>
      <c r="Z82" s="10"/>
      <c r="AA82" s="10"/>
      <c r="AB82" s="10"/>
      <c r="AC82" s="10"/>
    </row>
    <row r="83" s="2" customFormat="1" spans="1:29">
      <c r="A83" s="10"/>
      <c r="B83" s="11"/>
      <c r="C83" s="10"/>
      <c r="D83" s="10"/>
      <c r="E83" s="12"/>
      <c r="F83" s="10"/>
      <c r="G83" s="13"/>
      <c r="H83" s="17"/>
      <c r="I83" s="10"/>
      <c r="J83" s="10"/>
      <c r="K83" s="10"/>
      <c r="L83" s="10"/>
      <c r="M83" s="10"/>
      <c r="N83" s="10"/>
      <c r="O83" s="10"/>
      <c r="P83" s="10"/>
      <c r="Q83" s="10"/>
      <c r="R83" s="26"/>
      <c r="S83" s="10"/>
      <c r="T83" s="10"/>
      <c r="U83" s="13"/>
      <c r="V83" s="10"/>
      <c r="W83" s="23"/>
      <c r="X83" s="10"/>
      <c r="Y83" s="10"/>
      <c r="Z83" s="10"/>
      <c r="AA83" s="10"/>
      <c r="AB83" s="10"/>
      <c r="AC83" s="10"/>
    </row>
    <row r="84" s="2" customFormat="1" spans="1:29">
      <c r="A84" s="10"/>
      <c r="B84" s="11"/>
      <c r="C84" s="10"/>
      <c r="D84" s="10"/>
      <c r="E84" s="12"/>
      <c r="F84" s="10"/>
      <c r="G84" s="13"/>
      <c r="H84" s="17"/>
      <c r="I84" s="10"/>
      <c r="J84" s="10"/>
      <c r="K84" s="10"/>
      <c r="L84" s="10"/>
      <c r="M84" s="10"/>
      <c r="N84" s="10"/>
      <c r="O84" s="10"/>
      <c r="P84" s="10"/>
      <c r="Q84" s="10"/>
      <c r="R84" s="26"/>
      <c r="S84" s="10"/>
      <c r="T84" s="10"/>
      <c r="U84" s="13"/>
      <c r="V84" s="10"/>
      <c r="W84" s="23"/>
      <c r="X84" s="10"/>
      <c r="Y84" s="10"/>
      <c r="Z84" s="10"/>
      <c r="AA84" s="10"/>
      <c r="AB84" s="10"/>
      <c r="AC84" s="10"/>
    </row>
    <row r="85" s="2" customFormat="1" spans="1:29">
      <c r="A85" s="10"/>
      <c r="B85" s="11"/>
      <c r="C85" s="10"/>
      <c r="D85" s="10"/>
      <c r="E85" s="12"/>
      <c r="F85" s="10"/>
      <c r="G85" s="13"/>
      <c r="H85" s="17"/>
      <c r="I85" s="10"/>
      <c r="J85" s="10"/>
      <c r="K85" s="10"/>
      <c r="L85" s="10"/>
      <c r="M85" s="10"/>
      <c r="N85" s="10"/>
      <c r="O85" s="10"/>
      <c r="P85" s="10"/>
      <c r="Q85" s="10"/>
      <c r="R85" s="26"/>
      <c r="S85" s="10"/>
      <c r="T85" s="10"/>
      <c r="U85" s="13"/>
      <c r="V85" s="10"/>
      <c r="W85" s="23"/>
      <c r="X85" s="10"/>
      <c r="Y85" s="10"/>
      <c r="Z85" s="10"/>
      <c r="AA85" s="10"/>
      <c r="AB85" s="10"/>
      <c r="AC85" s="10"/>
    </row>
    <row r="86" s="2" customFormat="1" spans="1:29">
      <c r="A86" s="10"/>
      <c r="B86" s="11"/>
      <c r="C86" s="10"/>
      <c r="D86" s="10"/>
      <c r="E86" s="12"/>
      <c r="F86" s="10"/>
      <c r="G86" s="13"/>
      <c r="H86" s="18"/>
      <c r="I86" s="19"/>
      <c r="J86" s="19"/>
      <c r="K86" s="19"/>
      <c r="L86" s="19"/>
      <c r="M86" s="19"/>
      <c r="N86" s="19"/>
      <c r="O86" s="19"/>
      <c r="P86" s="19"/>
      <c r="Q86" s="19"/>
      <c r="R86" s="19"/>
      <c r="S86" s="19"/>
      <c r="T86" s="19"/>
      <c r="U86" s="13"/>
      <c r="V86" s="10"/>
      <c r="W86" s="23"/>
      <c r="X86" s="10"/>
      <c r="Y86" s="10"/>
      <c r="Z86" s="10"/>
      <c r="AA86" s="10"/>
      <c r="AB86" s="10"/>
      <c r="AC86" s="10"/>
    </row>
    <row r="87" s="2" customFormat="1" spans="1:29">
      <c r="A87" s="10"/>
      <c r="B87" s="11"/>
      <c r="C87" s="10"/>
      <c r="D87" s="10"/>
      <c r="E87" s="12"/>
      <c r="F87" s="10"/>
      <c r="G87" s="13"/>
      <c r="H87" s="17"/>
      <c r="I87" s="10"/>
      <c r="J87" s="10"/>
      <c r="K87" s="10"/>
      <c r="L87" s="10"/>
      <c r="M87" s="10"/>
      <c r="N87" s="10"/>
      <c r="O87" s="10"/>
      <c r="P87" s="10"/>
      <c r="Q87" s="10"/>
      <c r="R87" s="26"/>
      <c r="S87" s="10"/>
      <c r="T87" s="10"/>
      <c r="U87" s="13"/>
      <c r="V87" s="10"/>
      <c r="W87" s="23"/>
      <c r="X87" s="10"/>
      <c r="Y87" s="10"/>
      <c r="Z87" s="10"/>
      <c r="AA87" s="10"/>
      <c r="AB87" s="10"/>
      <c r="AC87" s="10"/>
    </row>
    <row r="88" s="2" customFormat="1" spans="1:29">
      <c r="A88" s="10"/>
      <c r="B88" s="11"/>
      <c r="C88" s="10"/>
      <c r="D88" s="10"/>
      <c r="E88" s="12"/>
      <c r="F88" s="10"/>
      <c r="G88" s="13"/>
      <c r="H88" s="17"/>
      <c r="I88" s="10"/>
      <c r="J88" s="10"/>
      <c r="K88" s="10"/>
      <c r="L88" s="10"/>
      <c r="M88" s="10"/>
      <c r="N88" s="10"/>
      <c r="O88" s="10"/>
      <c r="P88" s="10"/>
      <c r="Q88" s="10"/>
      <c r="R88" s="26"/>
      <c r="S88" s="10"/>
      <c r="T88" s="10"/>
      <c r="U88" s="13"/>
      <c r="V88" s="10"/>
      <c r="W88" s="23"/>
      <c r="X88" s="10"/>
      <c r="Y88" s="10"/>
      <c r="Z88" s="10"/>
      <c r="AA88" s="10"/>
      <c r="AB88" s="10"/>
      <c r="AC88" s="10"/>
    </row>
    <row r="89" s="2" customFormat="1" spans="1:29">
      <c r="A89" s="10"/>
      <c r="B89" s="11"/>
      <c r="C89" s="10"/>
      <c r="D89" s="10"/>
      <c r="E89" s="12"/>
      <c r="F89" s="10"/>
      <c r="G89" s="13"/>
      <c r="H89" s="17"/>
      <c r="I89" s="10"/>
      <c r="J89" s="10"/>
      <c r="K89" s="10"/>
      <c r="L89" s="10"/>
      <c r="M89" s="10"/>
      <c r="N89" s="10"/>
      <c r="O89" s="10"/>
      <c r="P89" s="10"/>
      <c r="Q89" s="10"/>
      <c r="R89" s="26"/>
      <c r="S89" s="10"/>
      <c r="T89" s="10"/>
      <c r="U89" s="13"/>
      <c r="V89" s="10"/>
      <c r="W89" s="23"/>
      <c r="X89" s="10"/>
      <c r="Y89" s="10"/>
      <c r="Z89" s="10"/>
      <c r="AA89" s="10"/>
      <c r="AB89" s="10"/>
      <c r="AC89" s="10"/>
    </row>
    <row r="90" s="2" customFormat="1" spans="1:29">
      <c r="A90" s="10"/>
      <c r="B90" s="11"/>
      <c r="C90" s="10"/>
      <c r="D90" s="10"/>
      <c r="E90" s="12"/>
      <c r="F90" s="10"/>
      <c r="G90" s="13"/>
      <c r="H90" s="17"/>
      <c r="I90" s="10"/>
      <c r="J90" s="10"/>
      <c r="K90" s="10"/>
      <c r="L90" s="10"/>
      <c r="M90" s="10"/>
      <c r="N90" s="10"/>
      <c r="O90" s="10"/>
      <c r="P90" s="10"/>
      <c r="Q90" s="10"/>
      <c r="R90" s="26"/>
      <c r="S90" s="10"/>
      <c r="T90" s="10"/>
      <c r="U90" s="13"/>
      <c r="V90" s="10"/>
      <c r="W90" s="23"/>
      <c r="X90" s="10"/>
      <c r="Y90" s="10"/>
      <c r="Z90" s="10"/>
      <c r="AA90" s="10"/>
      <c r="AB90" s="10"/>
      <c r="AC90" s="10"/>
    </row>
    <row r="91" s="2" customFormat="1" spans="1:29">
      <c r="A91" s="10"/>
      <c r="B91" s="11"/>
      <c r="C91" s="10"/>
      <c r="D91" s="10"/>
      <c r="E91" s="12"/>
      <c r="F91" s="10"/>
      <c r="G91" s="13"/>
      <c r="H91" s="17"/>
      <c r="I91" s="10"/>
      <c r="J91" s="10"/>
      <c r="K91" s="10"/>
      <c r="L91" s="10"/>
      <c r="M91" s="10"/>
      <c r="N91" s="10"/>
      <c r="O91" s="10"/>
      <c r="P91" s="10"/>
      <c r="Q91" s="10"/>
      <c r="R91" s="26"/>
      <c r="S91" s="10"/>
      <c r="T91" s="10"/>
      <c r="U91" s="13"/>
      <c r="V91" s="10"/>
      <c r="W91" s="23"/>
      <c r="X91" s="10"/>
      <c r="Y91" s="10"/>
      <c r="Z91" s="10"/>
      <c r="AA91" s="10"/>
      <c r="AB91" s="10"/>
      <c r="AC91" s="10"/>
    </row>
    <row r="92" s="2" customFormat="1" spans="1:29">
      <c r="A92" s="10"/>
      <c r="B92" s="11"/>
      <c r="C92" s="10"/>
      <c r="D92" s="10"/>
      <c r="E92" s="12"/>
      <c r="F92" s="10"/>
      <c r="G92" s="13"/>
      <c r="H92" s="17"/>
      <c r="I92" s="10"/>
      <c r="J92" s="10"/>
      <c r="K92" s="10"/>
      <c r="L92" s="10"/>
      <c r="M92" s="10"/>
      <c r="N92" s="10"/>
      <c r="O92" s="10"/>
      <c r="P92" s="10"/>
      <c r="Q92" s="10"/>
      <c r="R92" s="26"/>
      <c r="S92" s="10"/>
      <c r="T92" s="10"/>
      <c r="U92" s="13"/>
      <c r="V92" s="10"/>
      <c r="W92" s="23"/>
      <c r="X92" s="10"/>
      <c r="Y92" s="10"/>
      <c r="Z92" s="10"/>
      <c r="AA92" s="10"/>
      <c r="AB92" s="10"/>
      <c r="AC92" s="10"/>
    </row>
    <row r="93" s="2" customFormat="1" spans="1:29">
      <c r="A93" s="10"/>
      <c r="B93" s="11"/>
      <c r="C93" s="10"/>
      <c r="D93" s="10"/>
      <c r="E93" s="12"/>
      <c r="F93" s="10"/>
      <c r="G93" s="13"/>
      <c r="H93" s="17"/>
      <c r="I93" s="10"/>
      <c r="J93" s="10"/>
      <c r="K93" s="10"/>
      <c r="L93" s="10"/>
      <c r="M93" s="10"/>
      <c r="N93" s="10"/>
      <c r="O93" s="10"/>
      <c r="P93" s="10"/>
      <c r="Q93" s="10"/>
      <c r="R93" s="26"/>
      <c r="S93" s="10"/>
      <c r="T93" s="10"/>
      <c r="U93" s="13"/>
      <c r="V93" s="10"/>
      <c r="W93" s="23"/>
      <c r="X93" s="10"/>
      <c r="Y93" s="10"/>
      <c r="Z93" s="10"/>
      <c r="AA93" s="10"/>
      <c r="AB93" s="10"/>
      <c r="AC93" s="10"/>
    </row>
    <row r="94" s="2" customFormat="1" spans="1:29">
      <c r="A94" s="10"/>
      <c r="B94" s="11"/>
      <c r="C94" s="10"/>
      <c r="D94" s="10"/>
      <c r="E94" s="12"/>
      <c r="F94" s="10"/>
      <c r="G94" s="13"/>
      <c r="H94" s="17"/>
      <c r="I94" s="10"/>
      <c r="J94" s="10"/>
      <c r="K94" s="10"/>
      <c r="L94" s="10"/>
      <c r="M94" s="10"/>
      <c r="N94" s="10"/>
      <c r="O94" s="10"/>
      <c r="P94" s="10"/>
      <c r="Q94" s="10"/>
      <c r="R94" s="26"/>
      <c r="S94" s="10"/>
      <c r="T94" s="10"/>
      <c r="U94" s="13"/>
      <c r="V94" s="10"/>
      <c r="W94" s="23"/>
      <c r="X94" s="10"/>
      <c r="Y94" s="10"/>
      <c r="Z94" s="10"/>
      <c r="AA94" s="10"/>
      <c r="AB94" s="10"/>
      <c r="AC94" s="10"/>
    </row>
    <row r="95" s="2" customFormat="1" spans="1:29">
      <c r="A95" s="10"/>
      <c r="B95" s="11"/>
      <c r="C95" s="10"/>
      <c r="D95" s="10"/>
      <c r="E95" s="12"/>
      <c r="F95" s="10"/>
      <c r="G95" s="13"/>
      <c r="H95" s="17"/>
      <c r="I95" s="10"/>
      <c r="J95" s="10"/>
      <c r="K95" s="10"/>
      <c r="L95" s="10"/>
      <c r="M95" s="10"/>
      <c r="N95" s="10"/>
      <c r="O95" s="10"/>
      <c r="P95" s="10"/>
      <c r="Q95" s="10"/>
      <c r="R95" s="26"/>
      <c r="S95" s="10"/>
      <c r="T95" s="10"/>
      <c r="U95" s="13"/>
      <c r="V95" s="10"/>
      <c r="W95" s="23"/>
      <c r="X95" s="10"/>
      <c r="Y95" s="10"/>
      <c r="Z95" s="10"/>
      <c r="AA95" s="10"/>
      <c r="AB95" s="10"/>
      <c r="AC95" s="10"/>
    </row>
    <row r="96" s="2" customFormat="1" spans="1:29">
      <c r="A96" s="10"/>
      <c r="B96" s="11"/>
      <c r="C96" s="10"/>
      <c r="D96" s="10"/>
      <c r="E96" s="12"/>
      <c r="F96" s="10"/>
      <c r="G96" s="13"/>
      <c r="H96" s="17"/>
      <c r="I96" s="10"/>
      <c r="J96" s="10"/>
      <c r="K96" s="10"/>
      <c r="L96" s="10"/>
      <c r="M96" s="10"/>
      <c r="N96" s="10"/>
      <c r="O96" s="10"/>
      <c r="P96" s="10"/>
      <c r="Q96" s="10"/>
      <c r="R96" s="26"/>
      <c r="S96" s="10"/>
      <c r="T96" s="10"/>
      <c r="U96" s="13"/>
      <c r="V96" s="10"/>
      <c r="W96" s="23"/>
      <c r="X96" s="10"/>
      <c r="Y96" s="10"/>
      <c r="Z96" s="10"/>
      <c r="AA96" s="10"/>
      <c r="AB96" s="10"/>
      <c r="AC96" s="10"/>
    </row>
    <row r="97" s="2" customFormat="1" spans="1:29">
      <c r="A97" s="10"/>
      <c r="B97" s="11"/>
      <c r="C97" s="10"/>
      <c r="D97" s="10"/>
      <c r="E97" s="12"/>
      <c r="F97" s="10"/>
      <c r="G97" s="13"/>
      <c r="H97" s="17"/>
      <c r="I97" s="10"/>
      <c r="J97" s="10"/>
      <c r="K97" s="10"/>
      <c r="L97" s="10"/>
      <c r="M97" s="10"/>
      <c r="N97" s="10"/>
      <c r="O97" s="10"/>
      <c r="P97" s="10"/>
      <c r="Q97" s="10"/>
      <c r="R97" s="26"/>
      <c r="S97" s="10"/>
      <c r="T97" s="10"/>
      <c r="U97" s="13"/>
      <c r="V97" s="10"/>
      <c r="W97" s="23"/>
      <c r="X97" s="10"/>
      <c r="Y97" s="10"/>
      <c r="Z97" s="10"/>
      <c r="AA97" s="10"/>
      <c r="AB97" s="10"/>
      <c r="AC97" s="10"/>
    </row>
    <row r="98" s="2" customFormat="1" spans="1:29">
      <c r="A98" s="10"/>
      <c r="B98" s="11"/>
      <c r="C98" s="10"/>
      <c r="D98" s="10"/>
      <c r="E98" s="12"/>
      <c r="F98" s="10"/>
      <c r="G98" s="13"/>
      <c r="H98" s="17"/>
      <c r="I98" s="10"/>
      <c r="J98" s="10"/>
      <c r="K98" s="10"/>
      <c r="L98" s="10"/>
      <c r="M98" s="10"/>
      <c r="N98" s="10"/>
      <c r="O98" s="10"/>
      <c r="P98" s="10"/>
      <c r="Q98" s="10"/>
      <c r="R98" s="26"/>
      <c r="S98" s="10"/>
      <c r="T98" s="10"/>
      <c r="U98" s="13"/>
      <c r="V98" s="10"/>
      <c r="W98" s="23"/>
      <c r="X98" s="10"/>
      <c r="Y98" s="10"/>
      <c r="Z98" s="10"/>
      <c r="AA98" s="10"/>
      <c r="AB98" s="10"/>
      <c r="AC98" s="10"/>
    </row>
    <row r="99" s="2" customFormat="1" spans="1:29">
      <c r="A99" s="10"/>
      <c r="B99" s="11"/>
      <c r="C99" s="10"/>
      <c r="D99" s="10"/>
      <c r="E99" s="12"/>
      <c r="F99" s="10"/>
      <c r="G99" s="13"/>
      <c r="H99" s="17"/>
      <c r="I99" s="10"/>
      <c r="J99" s="10"/>
      <c r="K99" s="10"/>
      <c r="L99" s="10"/>
      <c r="M99" s="10"/>
      <c r="N99" s="10"/>
      <c r="O99" s="10"/>
      <c r="P99" s="10"/>
      <c r="Q99" s="10"/>
      <c r="R99" s="26"/>
      <c r="S99" s="10"/>
      <c r="T99" s="10"/>
      <c r="U99" s="13"/>
      <c r="V99" s="10"/>
      <c r="W99" s="23"/>
      <c r="X99" s="10"/>
      <c r="Y99" s="10"/>
      <c r="Z99" s="10"/>
      <c r="AA99" s="10"/>
      <c r="AB99" s="10"/>
      <c r="AC99" s="10"/>
    </row>
    <row r="100" s="2" customFormat="1" spans="1:29">
      <c r="A100" s="10"/>
      <c r="B100" s="11"/>
      <c r="C100" s="10"/>
      <c r="D100" s="10"/>
      <c r="E100" s="12"/>
      <c r="F100" s="10"/>
      <c r="G100" s="13"/>
      <c r="H100" s="17"/>
      <c r="I100" s="10"/>
      <c r="J100" s="10"/>
      <c r="K100" s="10"/>
      <c r="L100" s="10"/>
      <c r="M100" s="10"/>
      <c r="N100" s="10"/>
      <c r="O100" s="10"/>
      <c r="P100" s="10"/>
      <c r="Q100" s="10"/>
      <c r="R100" s="26"/>
      <c r="S100" s="10"/>
      <c r="T100" s="10"/>
      <c r="U100" s="13"/>
      <c r="V100" s="10"/>
      <c r="W100" s="23"/>
      <c r="X100" s="10"/>
      <c r="Y100" s="10"/>
      <c r="Z100" s="10"/>
      <c r="AA100" s="10"/>
      <c r="AB100" s="10"/>
      <c r="AC100" s="10"/>
    </row>
    <row r="101" s="2" customFormat="1" spans="1:29">
      <c r="A101" s="10"/>
      <c r="B101" s="11"/>
      <c r="C101" s="10"/>
      <c r="D101" s="10"/>
      <c r="E101" s="12"/>
      <c r="F101" s="10"/>
      <c r="G101" s="13"/>
      <c r="H101" s="17"/>
      <c r="I101" s="10"/>
      <c r="J101" s="10"/>
      <c r="K101" s="10"/>
      <c r="L101" s="10"/>
      <c r="M101" s="10"/>
      <c r="N101" s="10"/>
      <c r="O101" s="10"/>
      <c r="P101" s="10"/>
      <c r="Q101" s="10"/>
      <c r="R101" s="26"/>
      <c r="S101" s="10"/>
      <c r="T101" s="10"/>
      <c r="U101" s="13"/>
      <c r="V101" s="10"/>
      <c r="W101" s="23"/>
      <c r="X101" s="10"/>
      <c r="Y101" s="10"/>
      <c r="Z101" s="10"/>
      <c r="AA101" s="10"/>
      <c r="AB101" s="10"/>
      <c r="AC101" s="10"/>
    </row>
    <row r="102" s="2" customFormat="1" spans="1:29">
      <c r="A102" s="10"/>
      <c r="B102" s="11"/>
      <c r="C102" s="10"/>
      <c r="D102" s="10"/>
      <c r="E102" s="12"/>
      <c r="F102" s="10"/>
      <c r="G102" s="13"/>
      <c r="H102" s="17"/>
      <c r="I102" s="10"/>
      <c r="J102" s="10"/>
      <c r="K102" s="10"/>
      <c r="L102" s="10"/>
      <c r="M102" s="10"/>
      <c r="N102" s="10"/>
      <c r="O102" s="10"/>
      <c r="P102" s="10"/>
      <c r="Q102" s="10"/>
      <c r="R102" s="26"/>
      <c r="S102" s="10"/>
      <c r="T102" s="10"/>
      <c r="U102" s="13"/>
      <c r="V102" s="10"/>
      <c r="W102" s="23"/>
      <c r="X102" s="10"/>
      <c r="Y102" s="10"/>
      <c r="Z102" s="10"/>
      <c r="AA102" s="10"/>
      <c r="AB102" s="10"/>
      <c r="AC102" s="10"/>
    </row>
    <row r="103" s="2" customFormat="1" spans="1:29">
      <c r="A103" s="10"/>
      <c r="B103" s="11"/>
      <c r="C103" s="10"/>
      <c r="D103" s="10"/>
      <c r="E103" s="12"/>
      <c r="F103" s="10"/>
      <c r="G103" s="13"/>
      <c r="H103" s="17"/>
      <c r="I103" s="10"/>
      <c r="J103" s="10"/>
      <c r="K103" s="10"/>
      <c r="L103" s="10"/>
      <c r="M103" s="10"/>
      <c r="N103" s="10"/>
      <c r="O103" s="10"/>
      <c r="P103" s="10"/>
      <c r="Q103" s="10"/>
      <c r="R103" s="26"/>
      <c r="S103" s="10"/>
      <c r="T103" s="10"/>
      <c r="U103" s="13"/>
      <c r="V103" s="10"/>
      <c r="W103" s="23"/>
      <c r="X103" s="10"/>
      <c r="Y103" s="10"/>
      <c r="Z103" s="10"/>
      <c r="AA103" s="10"/>
      <c r="AB103" s="10"/>
      <c r="AC103" s="10"/>
    </row>
    <row r="104" s="2" customFormat="1" spans="1:29">
      <c r="A104" s="10"/>
      <c r="B104" s="11"/>
      <c r="C104" s="10"/>
      <c r="D104" s="10"/>
      <c r="E104" s="12"/>
      <c r="F104" s="10"/>
      <c r="G104" s="13"/>
      <c r="H104" s="17"/>
      <c r="I104" s="10"/>
      <c r="J104" s="10"/>
      <c r="K104" s="10"/>
      <c r="L104" s="10"/>
      <c r="M104" s="10"/>
      <c r="N104" s="10"/>
      <c r="O104" s="10"/>
      <c r="P104" s="10"/>
      <c r="Q104" s="10"/>
      <c r="R104" s="26"/>
      <c r="S104" s="10"/>
      <c r="T104" s="10"/>
      <c r="U104" s="13"/>
      <c r="V104" s="10"/>
      <c r="W104" s="23"/>
      <c r="X104" s="10"/>
      <c r="Y104" s="10"/>
      <c r="Z104" s="10"/>
      <c r="AA104" s="10"/>
      <c r="AB104" s="10"/>
      <c r="AC104" s="10"/>
    </row>
    <row r="105" s="2" customFormat="1" spans="1:29">
      <c r="A105" s="10"/>
      <c r="B105" s="11"/>
      <c r="C105" s="10"/>
      <c r="D105" s="10"/>
      <c r="E105" s="12"/>
      <c r="F105" s="10"/>
      <c r="G105" s="13"/>
      <c r="H105" s="17"/>
      <c r="I105" s="10"/>
      <c r="J105" s="10"/>
      <c r="K105" s="10"/>
      <c r="L105" s="10"/>
      <c r="M105" s="10"/>
      <c r="N105" s="10"/>
      <c r="O105" s="10"/>
      <c r="P105" s="10"/>
      <c r="Q105" s="10"/>
      <c r="R105" s="26"/>
      <c r="S105" s="10"/>
      <c r="T105" s="10"/>
      <c r="U105" s="13"/>
      <c r="V105" s="10"/>
      <c r="W105" s="23"/>
      <c r="X105" s="10"/>
      <c r="Y105" s="10"/>
      <c r="Z105" s="10"/>
      <c r="AA105" s="10"/>
      <c r="AB105" s="10"/>
      <c r="AC105" s="10"/>
    </row>
    <row r="106" s="2" customFormat="1" spans="1:29">
      <c r="A106" s="10"/>
      <c r="B106" s="11"/>
      <c r="C106" s="10"/>
      <c r="D106" s="10"/>
      <c r="E106" s="12"/>
      <c r="F106" s="10"/>
      <c r="G106" s="13"/>
      <c r="H106" s="17"/>
      <c r="I106" s="10"/>
      <c r="J106" s="10"/>
      <c r="K106" s="10"/>
      <c r="L106" s="10"/>
      <c r="M106" s="10"/>
      <c r="N106" s="10"/>
      <c r="O106" s="10"/>
      <c r="P106" s="10"/>
      <c r="Q106" s="10"/>
      <c r="R106" s="26"/>
      <c r="S106" s="10"/>
      <c r="T106" s="10"/>
      <c r="U106" s="13"/>
      <c r="V106" s="10"/>
      <c r="W106" s="23"/>
      <c r="X106" s="10"/>
      <c r="Y106" s="10"/>
      <c r="Z106" s="10"/>
      <c r="AA106" s="10"/>
      <c r="AB106" s="10"/>
      <c r="AC106" s="10"/>
    </row>
    <row r="107" s="2" customFormat="1" spans="1:29">
      <c r="A107" s="10"/>
      <c r="B107" s="11"/>
      <c r="C107" s="10"/>
      <c r="D107" s="10"/>
      <c r="E107" s="12"/>
      <c r="F107" s="10"/>
      <c r="G107" s="13"/>
      <c r="H107" s="17"/>
      <c r="I107" s="10"/>
      <c r="J107" s="10"/>
      <c r="K107" s="10"/>
      <c r="L107" s="10"/>
      <c r="M107" s="10"/>
      <c r="N107" s="10"/>
      <c r="O107" s="10"/>
      <c r="P107" s="10"/>
      <c r="Q107" s="10"/>
      <c r="R107" s="26"/>
      <c r="S107" s="10"/>
      <c r="T107" s="10"/>
      <c r="U107" s="13"/>
      <c r="V107" s="10"/>
      <c r="W107" s="23"/>
      <c r="X107" s="10"/>
      <c r="Y107" s="10"/>
      <c r="Z107" s="10"/>
      <c r="AA107" s="10"/>
      <c r="AB107" s="10"/>
      <c r="AC107" s="10"/>
    </row>
    <row r="108" s="2" customFormat="1" spans="1:29">
      <c r="A108" s="10"/>
      <c r="B108" s="10"/>
      <c r="C108" s="28"/>
      <c r="D108" s="29"/>
      <c r="E108" s="30"/>
      <c r="F108" s="29"/>
      <c r="G108" s="29"/>
      <c r="H108" s="31"/>
      <c r="I108" s="34"/>
      <c r="J108" s="34"/>
      <c r="K108" s="34"/>
      <c r="L108" s="34"/>
      <c r="M108" s="34"/>
      <c r="N108" s="34"/>
      <c r="O108" s="34"/>
      <c r="P108" s="34"/>
      <c r="Q108" s="34"/>
      <c r="R108" s="34"/>
      <c r="S108" s="12"/>
      <c r="T108" s="10"/>
      <c r="U108" s="10"/>
      <c r="V108" s="10"/>
      <c r="W108" s="23"/>
      <c r="X108" s="10"/>
      <c r="Y108" s="10"/>
      <c r="Z108" s="10"/>
      <c r="AA108" s="10"/>
      <c r="AB108" s="10"/>
      <c r="AC108" s="10"/>
    </row>
    <row r="109" s="2" customFormat="1" spans="1:29">
      <c r="A109" s="10"/>
      <c r="B109" s="10"/>
      <c r="C109" s="28"/>
      <c r="D109" s="29"/>
      <c r="E109" s="30"/>
      <c r="F109" s="29"/>
      <c r="G109" s="29"/>
      <c r="H109" s="31"/>
      <c r="I109" s="34"/>
      <c r="J109" s="34"/>
      <c r="K109" s="34"/>
      <c r="L109" s="34"/>
      <c r="M109" s="34"/>
      <c r="N109" s="34"/>
      <c r="O109" s="34"/>
      <c r="P109" s="34"/>
      <c r="Q109" s="34"/>
      <c r="R109" s="34"/>
      <c r="S109" s="12"/>
      <c r="T109" s="10"/>
      <c r="U109" s="10"/>
      <c r="V109" s="10"/>
      <c r="W109" s="23"/>
      <c r="X109" s="10"/>
      <c r="Y109" s="10"/>
      <c r="Z109" s="10"/>
      <c r="AA109" s="10"/>
      <c r="AB109" s="10"/>
      <c r="AC109" s="10"/>
    </row>
    <row r="110" s="2" customFormat="1" spans="1:29">
      <c r="A110" s="10"/>
      <c r="B110" s="10"/>
      <c r="C110" s="28"/>
      <c r="D110" s="29"/>
      <c r="E110" s="30"/>
      <c r="F110" s="29"/>
      <c r="G110" s="29"/>
      <c r="H110" s="31"/>
      <c r="I110" s="34"/>
      <c r="J110" s="34"/>
      <c r="K110" s="34"/>
      <c r="L110" s="34"/>
      <c r="M110" s="34"/>
      <c r="N110" s="34"/>
      <c r="O110" s="34"/>
      <c r="P110" s="34"/>
      <c r="Q110" s="34"/>
      <c r="R110" s="34"/>
      <c r="S110" s="12"/>
      <c r="T110" s="10"/>
      <c r="U110" s="10"/>
      <c r="V110" s="10"/>
      <c r="W110" s="23"/>
      <c r="X110" s="10"/>
      <c r="Y110" s="10"/>
      <c r="Z110" s="10"/>
      <c r="AA110" s="10"/>
      <c r="AB110" s="10"/>
      <c r="AC110" s="10"/>
    </row>
    <row r="111" s="2" customFormat="1" spans="1:29">
      <c r="A111" s="10"/>
      <c r="B111" s="10"/>
      <c r="C111" s="28"/>
      <c r="D111" s="29"/>
      <c r="E111" s="30"/>
      <c r="F111" s="29"/>
      <c r="G111" s="29"/>
      <c r="H111" s="31"/>
      <c r="I111" s="34"/>
      <c r="J111" s="34"/>
      <c r="K111" s="34"/>
      <c r="L111" s="34"/>
      <c r="M111" s="34"/>
      <c r="N111" s="34"/>
      <c r="O111" s="34"/>
      <c r="P111" s="34"/>
      <c r="Q111" s="34"/>
      <c r="R111" s="34"/>
      <c r="S111" s="12"/>
      <c r="T111" s="10"/>
      <c r="U111" s="10"/>
      <c r="V111" s="10"/>
      <c r="W111" s="23"/>
      <c r="X111" s="10"/>
      <c r="Y111" s="10"/>
      <c r="Z111" s="10"/>
      <c r="AA111" s="10"/>
      <c r="AB111" s="10"/>
      <c r="AC111" s="10"/>
    </row>
    <row r="112" s="2" customFormat="1" spans="1:29">
      <c r="A112" s="10"/>
      <c r="B112" s="10"/>
      <c r="C112" s="28"/>
      <c r="D112" s="29"/>
      <c r="E112" s="30"/>
      <c r="F112" s="29"/>
      <c r="G112" s="29"/>
      <c r="H112" s="31"/>
      <c r="I112" s="34"/>
      <c r="J112" s="34"/>
      <c r="K112" s="34"/>
      <c r="L112" s="34"/>
      <c r="M112" s="34"/>
      <c r="N112" s="34"/>
      <c r="O112" s="34"/>
      <c r="P112" s="34"/>
      <c r="Q112" s="34"/>
      <c r="R112" s="34"/>
      <c r="S112" s="12"/>
      <c r="T112" s="10"/>
      <c r="U112" s="10"/>
      <c r="V112" s="10"/>
      <c r="W112" s="23"/>
      <c r="X112" s="10"/>
      <c r="Y112" s="10"/>
      <c r="Z112" s="10"/>
      <c r="AA112" s="10"/>
      <c r="AB112" s="10"/>
      <c r="AC112" s="10"/>
    </row>
    <row r="113" s="2" customFormat="1" spans="1:29">
      <c r="A113" s="10"/>
      <c r="B113" s="10"/>
      <c r="C113" s="28"/>
      <c r="D113" s="29"/>
      <c r="E113" s="30"/>
      <c r="F113" s="29"/>
      <c r="G113" s="29"/>
      <c r="H113" s="31"/>
      <c r="I113" s="34"/>
      <c r="J113" s="34"/>
      <c r="K113" s="34"/>
      <c r="L113" s="34"/>
      <c r="M113" s="34"/>
      <c r="N113" s="34"/>
      <c r="O113" s="34"/>
      <c r="P113" s="34"/>
      <c r="Q113" s="34"/>
      <c r="R113" s="34"/>
      <c r="S113" s="12"/>
      <c r="T113" s="10"/>
      <c r="U113" s="10"/>
      <c r="V113" s="10"/>
      <c r="W113" s="23"/>
      <c r="X113" s="10"/>
      <c r="Y113" s="10"/>
      <c r="Z113" s="10"/>
      <c r="AA113" s="10"/>
      <c r="AB113" s="10"/>
      <c r="AC113" s="10"/>
    </row>
    <row r="114" s="2" customFormat="1" spans="1:29">
      <c r="A114" s="10"/>
      <c r="B114" s="10"/>
      <c r="C114" s="28"/>
      <c r="D114" s="29"/>
      <c r="E114" s="30"/>
      <c r="F114" s="28"/>
      <c r="G114" s="29"/>
      <c r="H114" s="31"/>
      <c r="I114" s="34"/>
      <c r="J114" s="34"/>
      <c r="K114" s="34"/>
      <c r="L114" s="34"/>
      <c r="M114" s="34"/>
      <c r="N114" s="34"/>
      <c r="O114" s="34"/>
      <c r="P114" s="34"/>
      <c r="Q114" s="34"/>
      <c r="R114" s="34"/>
      <c r="S114" s="12"/>
      <c r="T114" s="10"/>
      <c r="U114" s="10"/>
      <c r="V114" s="10"/>
      <c r="W114" s="23"/>
      <c r="X114" s="10"/>
      <c r="Y114" s="10"/>
      <c r="Z114" s="10"/>
      <c r="AA114" s="10"/>
      <c r="AB114" s="10"/>
      <c r="AC114" s="10"/>
    </row>
    <row r="115" s="2" customFormat="1" spans="1:29">
      <c r="A115" s="10"/>
      <c r="B115" s="10"/>
      <c r="C115" s="28"/>
      <c r="D115" s="29"/>
      <c r="E115" s="30"/>
      <c r="F115" s="29"/>
      <c r="G115" s="29"/>
      <c r="H115" s="31"/>
      <c r="I115" s="34"/>
      <c r="J115" s="34"/>
      <c r="K115" s="34"/>
      <c r="L115" s="34"/>
      <c r="M115" s="34"/>
      <c r="N115" s="34"/>
      <c r="O115" s="34"/>
      <c r="P115" s="34"/>
      <c r="Q115" s="34"/>
      <c r="R115" s="34"/>
      <c r="S115" s="12"/>
      <c r="T115" s="10"/>
      <c r="U115" s="10"/>
      <c r="V115" s="10"/>
      <c r="W115" s="23"/>
      <c r="X115" s="10"/>
      <c r="Y115" s="10"/>
      <c r="Z115" s="10"/>
      <c r="AA115" s="10"/>
      <c r="AB115" s="10"/>
      <c r="AC115" s="10"/>
    </row>
    <row r="116" s="2" customFormat="1" spans="1:29">
      <c r="A116" s="10"/>
      <c r="B116" s="10"/>
      <c r="C116" s="28"/>
      <c r="D116" s="29"/>
      <c r="E116" s="30"/>
      <c r="F116" s="28"/>
      <c r="G116" s="29"/>
      <c r="H116" s="31"/>
      <c r="I116" s="34"/>
      <c r="J116" s="34"/>
      <c r="K116" s="34"/>
      <c r="L116" s="34"/>
      <c r="M116" s="34"/>
      <c r="N116" s="34"/>
      <c r="O116" s="34"/>
      <c r="P116" s="34"/>
      <c r="Q116" s="34"/>
      <c r="R116" s="34"/>
      <c r="S116" s="12"/>
      <c r="T116" s="10"/>
      <c r="U116" s="10"/>
      <c r="V116" s="10"/>
      <c r="W116" s="23"/>
      <c r="X116" s="10"/>
      <c r="Y116" s="10"/>
      <c r="Z116" s="10"/>
      <c r="AA116" s="10"/>
      <c r="AB116" s="10"/>
      <c r="AC116" s="10"/>
    </row>
    <row r="117" s="2" customFormat="1" spans="1:29">
      <c r="A117" s="10"/>
      <c r="B117" s="10"/>
      <c r="C117" s="28"/>
      <c r="D117" s="29"/>
      <c r="E117" s="30"/>
      <c r="F117" s="28"/>
      <c r="G117" s="29"/>
      <c r="H117" s="31"/>
      <c r="I117" s="34"/>
      <c r="J117" s="34"/>
      <c r="K117" s="34"/>
      <c r="L117" s="34"/>
      <c r="M117" s="34"/>
      <c r="N117" s="34"/>
      <c r="O117" s="34"/>
      <c r="P117" s="34"/>
      <c r="Q117" s="34"/>
      <c r="R117" s="34"/>
      <c r="S117" s="12"/>
      <c r="T117" s="10"/>
      <c r="U117" s="10"/>
      <c r="V117" s="10"/>
      <c r="W117" s="23"/>
      <c r="X117" s="10"/>
      <c r="Y117" s="10"/>
      <c r="Z117" s="10"/>
      <c r="AA117" s="10"/>
      <c r="AB117" s="10"/>
      <c r="AC117" s="10"/>
    </row>
    <row r="118" s="2" customFormat="1" spans="1:29">
      <c r="A118" s="10"/>
      <c r="B118" s="10"/>
      <c r="C118" s="28"/>
      <c r="D118" s="29"/>
      <c r="E118" s="30"/>
      <c r="F118" s="28"/>
      <c r="G118" s="29"/>
      <c r="H118" s="31"/>
      <c r="I118" s="34"/>
      <c r="J118" s="34"/>
      <c r="K118" s="34"/>
      <c r="L118" s="34"/>
      <c r="M118" s="34"/>
      <c r="N118" s="34"/>
      <c r="O118" s="34"/>
      <c r="P118" s="34"/>
      <c r="Q118" s="34"/>
      <c r="R118" s="34"/>
      <c r="S118" s="12"/>
      <c r="T118" s="10"/>
      <c r="U118" s="10"/>
      <c r="V118" s="10"/>
      <c r="W118" s="23"/>
      <c r="X118" s="10"/>
      <c r="Y118" s="10"/>
      <c r="Z118" s="10"/>
      <c r="AA118" s="10"/>
      <c r="AB118" s="10"/>
      <c r="AC118" s="10"/>
    </row>
    <row r="119" s="2" customFormat="1" spans="1:29">
      <c r="A119" s="10"/>
      <c r="B119" s="10"/>
      <c r="C119" s="28"/>
      <c r="D119" s="29"/>
      <c r="E119" s="30"/>
      <c r="F119" s="28"/>
      <c r="G119" s="29"/>
      <c r="H119" s="31"/>
      <c r="I119" s="34"/>
      <c r="J119" s="34"/>
      <c r="K119" s="34"/>
      <c r="L119" s="34"/>
      <c r="M119" s="34"/>
      <c r="N119" s="34"/>
      <c r="O119" s="34"/>
      <c r="P119" s="34"/>
      <c r="Q119" s="34"/>
      <c r="R119" s="34"/>
      <c r="S119" s="12"/>
      <c r="T119" s="10"/>
      <c r="U119" s="10"/>
      <c r="V119" s="10"/>
      <c r="W119" s="23"/>
      <c r="X119" s="10"/>
      <c r="Y119" s="10"/>
      <c r="Z119" s="10"/>
      <c r="AA119" s="10"/>
      <c r="AB119" s="10"/>
      <c r="AC119" s="10"/>
    </row>
    <row r="120" s="2" customFormat="1" spans="1:29">
      <c r="A120" s="10"/>
      <c r="B120" s="10"/>
      <c r="C120" s="28"/>
      <c r="D120" s="29"/>
      <c r="E120" s="30"/>
      <c r="F120" s="28"/>
      <c r="G120" s="29"/>
      <c r="H120" s="31"/>
      <c r="I120" s="34"/>
      <c r="J120" s="34"/>
      <c r="K120" s="34"/>
      <c r="L120" s="34"/>
      <c r="M120" s="34"/>
      <c r="N120" s="34"/>
      <c r="O120" s="34"/>
      <c r="P120" s="34"/>
      <c r="Q120" s="34"/>
      <c r="R120" s="34"/>
      <c r="S120" s="12"/>
      <c r="T120" s="10"/>
      <c r="U120" s="10"/>
      <c r="V120" s="10"/>
      <c r="W120" s="23"/>
      <c r="X120" s="10"/>
      <c r="Y120" s="10"/>
      <c r="Z120" s="10"/>
      <c r="AA120" s="10"/>
      <c r="AB120" s="10"/>
      <c r="AC120" s="10"/>
    </row>
    <row r="121" s="2" customFormat="1" spans="1:29">
      <c r="A121" s="10"/>
      <c r="B121" s="10"/>
      <c r="C121" s="28"/>
      <c r="D121" s="29"/>
      <c r="E121" s="30"/>
      <c r="F121" s="28"/>
      <c r="G121" s="29"/>
      <c r="H121" s="31"/>
      <c r="I121" s="34"/>
      <c r="J121" s="34"/>
      <c r="K121" s="34"/>
      <c r="L121" s="34"/>
      <c r="M121" s="34"/>
      <c r="N121" s="34"/>
      <c r="O121" s="34"/>
      <c r="P121" s="34"/>
      <c r="Q121" s="34"/>
      <c r="R121" s="34"/>
      <c r="S121" s="12"/>
      <c r="T121" s="10"/>
      <c r="U121" s="10"/>
      <c r="V121" s="10"/>
      <c r="W121" s="23"/>
      <c r="X121" s="10"/>
      <c r="Y121" s="10"/>
      <c r="Z121" s="10"/>
      <c r="AA121" s="10"/>
      <c r="AB121" s="10"/>
      <c r="AC121" s="10"/>
    </row>
    <row r="122" s="2" customFormat="1" spans="1:29">
      <c r="A122" s="10"/>
      <c r="B122" s="10"/>
      <c r="C122" s="28"/>
      <c r="D122" s="29"/>
      <c r="E122" s="30"/>
      <c r="F122" s="28"/>
      <c r="G122" s="29"/>
      <c r="H122" s="31"/>
      <c r="I122" s="34"/>
      <c r="J122" s="34"/>
      <c r="K122" s="34"/>
      <c r="L122" s="34"/>
      <c r="M122" s="34"/>
      <c r="N122" s="34"/>
      <c r="O122" s="34"/>
      <c r="P122" s="34"/>
      <c r="Q122" s="34"/>
      <c r="R122" s="34"/>
      <c r="S122" s="12"/>
      <c r="T122" s="10"/>
      <c r="U122" s="10"/>
      <c r="V122" s="10"/>
      <c r="W122" s="23"/>
      <c r="X122" s="10"/>
      <c r="Y122" s="10"/>
      <c r="Z122" s="10"/>
      <c r="AA122" s="10"/>
      <c r="AB122" s="10"/>
      <c r="AC122" s="10"/>
    </row>
    <row r="123" s="2" customFormat="1" spans="1:29">
      <c r="A123" s="10"/>
      <c r="B123" s="10"/>
      <c r="C123" s="28"/>
      <c r="D123" s="29"/>
      <c r="E123" s="30"/>
      <c r="F123" s="28"/>
      <c r="G123" s="29"/>
      <c r="H123" s="31"/>
      <c r="I123" s="34"/>
      <c r="J123" s="34"/>
      <c r="K123" s="34"/>
      <c r="L123" s="34"/>
      <c r="M123" s="34"/>
      <c r="N123" s="34"/>
      <c r="O123" s="34"/>
      <c r="P123" s="34"/>
      <c r="Q123" s="34"/>
      <c r="R123" s="34"/>
      <c r="S123" s="12"/>
      <c r="T123" s="10"/>
      <c r="U123" s="10"/>
      <c r="V123" s="10"/>
      <c r="W123" s="23"/>
      <c r="X123" s="10"/>
      <c r="Y123" s="10"/>
      <c r="Z123" s="10"/>
      <c r="AA123" s="10"/>
      <c r="AB123" s="10"/>
      <c r="AC123" s="10"/>
    </row>
    <row r="124" s="2" customFormat="1" spans="1:29">
      <c r="A124" s="10"/>
      <c r="B124" s="10"/>
      <c r="C124" s="28"/>
      <c r="D124" s="29"/>
      <c r="E124" s="30"/>
      <c r="F124" s="28"/>
      <c r="G124" s="29"/>
      <c r="H124" s="31"/>
      <c r="I124" s="34"/>
      <c r="J124" s="34"/>
      <c r="K124" s="34"/>
      <c r="L124" s="34"/>
      <c r="M124" s="34"/>
      <c r="N124" s="34"/>
      <c r="O124" s="34"/>
      <c r="P124" s="34"/>
      <c r="Q124" s="34"/>
      <c r="R124" s="34"/>
      <c r="S124" s="12"/>
      <c r="T124" s="10"/>
      <c r="U124" s="10"/>
      <c r="V124" s="10"/>
      <c r="W124" s="23"/>
      <c r="X124" s="10"/>
      <c r="Y124" s="10"/>
      <c r="Z124" s="10"/>
      <c r="AA124" s="10"/>
      <c r="AB124" s="10"/>
      <c r="AC124" s="10"/>
    </row>
    <row r="125" s="2" customFormat="1" spans="1:29">
      <c r="A125" s="10"/>
      <c r="B125" s="10"/>
      <c r="C125" s="28"/>
      <c r="D125" s="29"/>
      <c r="E125" s="30"/>
      <c r="F125" s="28"/>
      <c r="G125" s="29"/>
      <c r="H125" s="31"/>
      <c r="I125" s="34"/>
      <c r="J125" s="34"/>
      <c r="K125" s="34"/>
      <c r="L125" s="34"/>
      <c r="M125" s="34"/>
      <c r="N125" s="34"/>
      <c r="O125" s="34"/>
      <c r="P125" s="34"/>
      <c r="Q125" s="34"/>
      <c r="R125" s="34"/>
      <c r="S125" s="12"/>
      <c r="T125" s="10"/>
      <c r="U125" s="10"/>
      <c r="V125" s="10"/>
      <c r="W125" s="23"/>
      <c r="X125" s="10"/>
      <c r="Y125" s="10"/>
      <c r="Z125" s="10"/>
      <c r="AA125" s="10"/>
      <c r="AB125" s="10"/>
      <c r="AC125" s="10"/>
    </row>
    <row r="126" s="2" customFormat="1" spans="1:29">
      <c r="A126" s="10"/>
      <c r="B126" s="10"/>
      <c r="C126" s="28"/>
      <c r="D126" s="29"/>
      <c r="E126" s="30"/>
      <c r="F126" s="28"/>
      <c r="G126" s="29"/>
      <c r="H126" s="31"/>
      <c r="I126" s="34"/>
      <c r="J126" s="34"/>
      <c r="K126" s="34"/>
      <c r="L126" s="34"/>
      <c r="M126" s="34"/>
      <c r="N126" s="34"/>
      <c r="O126" s="34"/>
      <c r="P126" s="34"/>
      <c r="Q126" s="34"/>
      <c r="R126" s="34"/>
      <c r="S126" s="12"/>
      <c r="T126" s="10"/>
      <c r="U126" s="10"/>
      <c r="V126" s="10"/>
      <c r="W126" s="23"/>
      <c r="X126" s="10"/>
      <c r="Y126" s="10"/>
      <c r="Z126" s="10"/>
      <c r="AA126" s="10"/>
      <c r="AB126" s="10"/>
      <c r="AC126" s="10"/>
    </row>
    <row r="127" s="2" customFormat="1" spans="1:29">
      <c r="A127" s="10"/>
      <c r="B127" s="10"/>
      <c r="C127" s="28"/>
      <c r="D127" s="29"/>
      <c r="E127" s="30"/>
      <c r="F127" s="28"/>
      <c r="G127" s="29"/>
      <c r="H127" s="31"/>
      <c r="I127" s="34"/>
      <c r="J127" s="34"/>
      <c r="K127" s="34"/>
      <c r="L127" s="34"/>
      <c r="M127" s="34"/>
      <c r="N127" s="34"/>
      <c r="O127" s="34"/>
      <c r="P127" s="34"/>
      <c r="Q127" s="34"/>
      <c r="R127" s="34"/>
      <c r="S127" s="35"/>
      <c r="T127" s="10"/>
      <c r="U127" s="10"/>
      <c r="V127" s="10"/>
      <c r="W127" s="23"/>
      <c r="X127" s="10"/>
      <c r="Y127" s="10"/>
      <c r="Z127" s="10"/>
      <c r="AA127" s="10"/>
      <c r="AB127" s="10"/>
      <c r="AC127" s="10"/>
    </row>
    <row r="128" s="2" customFormat="1" spans="1:29">
      <c r="A128" s="10"/>
      <c r="B128" s="10"/>
      <c r="C128" s="28"/>
      <c r="D128" s="29"/>
      <c r="E128" s="30"/>
      <c r="F128" s="28"/>
      <c r="G128" s="29"/>
      <c r="H128" s="31"/>
      <c r="I128" s="34"/>
      <c r="J128" s="34"/>
      <c r="K128" s="34"/>
      <c r="L128" s="34"/>
      <c r="M128" s="34"/>
      <c r="N128" s="34"/>
      <c r="O128" s="34"/>
      <c r="P128" s="34"/>
      <c r="Q128" s="34"/>
      <c r="R128" s="34"/>
      <c r="S128" s="35"/>
      <c r="T128" s="10"/>
      <c r="U128" s="10"/>
      <c r="V128" s="10"/>
      <c r="W128" s="23"/>
      <c r="X128" s="10"/>
      <c r="Y128" s="10"/>
      <c r="Z128" s="10"/>
      <c r="AA128" s="10"/>
      <c r="AB128" s="10"/>
      <c r="AC128" s="10"/>
    </row>
    <row r="129" s="2" customFormat="1" spans="1:29">
      <c r="A129" s="10"/>
      <c r="B129" s="10"/>
      <c r="C129" s="28"/>
      <c r="D129" s="29"/>
      <c r="E129" s="30"/>
      <c r="F129" s="28"/>
      <c r="G129" s="29"/>
      <c r="H129" s="31"/>
      <c r="I129" s="34"/>
      <c r="J129" s="34"/>
      <c r="K129" s="34"/>
      <c r="L129" s="34"/>
      <c r="M129" s="34"/>
      <c r="N129" s="34"/>
      <c r="O129" s="34"/>
      <c r="P129" s="34"/>
      <c r="Q129" s="34"/>
      <c r="R129" s="34"/>
      <c r="S129" s="12"/>
      <c r="T129" s="10"/>
      <c r="U129" s="10"/>
      <c r="V129" s="10"/>
      <c r="W129" s="23"/>
      <c r="X129" s="10"/>
      <c r="Y129" s="10"/>
      <c r="Z129" s="10"/>
      <c r="AA129" s="10"/>
      <c r="AB129" s="10"/>
      <c r="AC129" s="10"/>
    </row>
    <row r="130" s="2" customFormat="1" spans="1:29">
      <c r="A130" s="10"/>
      <c r="B130" s="10"/>
      <c r="C130" s="28"/>
      <c r="D130" s="29"/>
      <c r="E130" s="30"/>
      <c r="F130" s="28"/>
      <c r="G130" s="29"/>
      <c r="H130" s="31"/>
      <c r="I130" s="34"/>
      <c r="J130" s="34"/>
      <c r="K130" s="34"/>
      <c r="L130" s="34"/>
      <c r="M130" s="34"/>
      <c r="N130" s="34"/>
      <c r="O130" s="34"/>
      <c r="P130" s="34"/>
      <c r="Q130" s="34"/>
      <c r="R130" s="34"/>
      <c r="S130" s="12"/>
      <c r="T130" s="10"/>
      <c r="U130" s="10"/>
      <c r="V130" s="10"/>
      <c r="W130" s="23"/>
      <c r="X130" s="10"/>
      <c r="Y130" s="10"/>
      <c r="Z130" s="10"/>
      <c r="AA130" s="10"/>
      <c r="AB130" s="10"/>
      <c r="AC130" s="10"/>
    </row>
    <row r="131" s="2" customFormat="1" spans="1:29">
      <c r="A131" s="10"/>
      <c r="B131" s="10"/>
      <c r="C131" s="28"/>
      <c r="D131" s="29"/>
      <c r="E131" s="30"/>
      <c r="F131" s="28"/>
      <c r="G131" s="28"/>
      <c r="H131" s="32"/>
      <c r="I131" s="34"/>
      <c r="J131" s="34"/>
      <c r="K131" s="34"/>
      <c r="L131" s="34"/>
      <c r="M131" s="34"/>
      <c r="N131" s="34"/>
      <c r="O131" s="34"/>
      <c r="P131" s="34"/>
      <c r="Q131" s="34"/>
      <c r="R131" s="34"/>
      <c r="S131" s="12"/>
      <c r="T131" s="10"/>
      <c r="U131" s="10"/>
      <c r="V131" s="10"/>
      <c r="W131" s="23"/>
      <c r="X131" s="10"/>
      <c r="Y131" s="10"/>
      <c r="Z131" s="10"/>
      <c r="AA131" s="10"/>
      <c r="AB131" s="10"/>
      <c r="AC131" s="10"/>
    </row>
    <row r="132" s="2" customFormat="1" spans="1:29">
      <c r="A132" s="10"/>
      <c r="B132" s="10"/>
      <c r="C132" s="28"/>
      <c r="D132" s="29"/>
      <c r="E132" s="30"/>
      <c r="F132" s="28"/>
      <c r="G132" s="28"/>
      <c r="H132" s="32"/>
      <c r="I132" s="34"/>
      <c r="J132" s="34"/>
      <c r="K132" s="34"/>
      <c r="L132" s="34"/>
      <c r="M132" s="34"/>
      <c r="N132" s="34"/>
      <c r="O132" s="34"/>
      <c r="P132" s="34"/>
      <c r="Q132" s="34"/>
      <c r="R132" s="34"/>
      <c r="S132" s="12"/>
      <c r="T132" s="10"/>
      <c r="U132" s="10"/>
      <c r="V132" s="10"/>
      <c r="W132" s="23"/>
      <c r="X132" s="10"/>
      <c r="Y132" s="10"/>
      <c r="Z132" s="10"/>
      <c r="AA132" s="10"/>
      <c r="AB132" s="10"/>
      <c r="AC132" s="10"/>
    </row>
    <row r="133" s="2" customFormat="1" spans="1:29">
      <c r="A133" s="10"/>
      <c r="B133" s="10"/>
      <c r="C133" s="28"/>
      <c r="D133" s="29"/>
      <c r="E133" s="30"/>
      <c r="F133" s="28"/>
      <c r="G133" s="28"/>
      <c r="H133" s="32"/>
      <c r="I133" s="34"/>
      <c r="J133" s="34"/>
      <c r="K133" s="34"/>
      <c r="L133" s="34"/>
      <c r="M133" s="34"/>
      <c r="N133" s="34"/>
      <c r="O133" s="34"/>
      <c r="P133" s="34"/>
      <c r="Q133" s="34"/>
      <c r="R133" s="34"/>
      <c r="S133" s="12"/>
      <c r="T133" s="10"/>
      <c r="U133" s="10"/>
      <c r="V133" s="10"/>
      <c r="W133" s="23"/>
      <c r="X133" s="10"/>
      <c r="Y133" s="10"/>
      <c r="Z133" s="10"/>
      <c r="AA133" s="10"/>
      <c r="AB133" s="10"/>
      <c r="AC133" s="10"/>
    </row>
    <row r="134" s="2" customFormat="1" spans="1:29">
      <c r="A134" s="10"/>
      <c r="B134" s="10"/>
      <c r="C134" s="28"/>
      <c r="D134" s="29"/>
      <c r="E134" s="30"/>
      <c r="F134" s="28"/>
      <c r="G134" s="28"/>
      <c r="H134" s="32"/>
      <c r="I134" s="34"/>
      <c r="J134" s="34"/>
      <c r="K134" s="34"/>
      <c r="L134" s="34"/>
      <c r="M134" s="34"/>
      <c r="N134" s="34"/>
      <c r="O134" s="34"/>
      <c r="P134" s="34"/>
      <c r="Q134" s="34"/>
      <c r="R134" s="34"/>
      <c r="S134" s="12"/>
      <c r="T134" s="10"/>
      <c r="U134" s="10"/>
      <c r="V134" s="10"/>
      <c r="W134" s="23"/>
      <c r="X134" s="10"/>
      <c r="Y134" s="10"/>
      <c r="Z134" s="10"/>
      <c r="AA134" s="10"/>
      <c r="AB134" s="10"/>
      <c r="AC134" s="10"/>
    </row>
    <row r="135" s="2" customFormat="1" spans="1:29">
      <c r="A135" s="10"/>
      <c r="B135" s="10"/>
      <c r="C135" s="28"/>
      <c r="D135" s="29"/>
      <c r="E135" s="30"/>
      <c r="F135" s="28"/>
      <c r="G135" s="28"/>
      <c r="H135" s="32"/>
      <c r="I135" s="34"/>
      <c r="J135" s="34"/>
      <c r="K135" s="34"/>
      <c r="L135" s="34"/>
      <c r="M135" s="34"/>
      <c r="N135" s="34"/>
      <c r="O135" s="34"/>
      <c r="P135" s="34"/>
      <c r="Q135" s="34"/>
      <c r="R135" s="34"/>
      <c r="S135" s="12"/>
      <c r="T135" s="10"/>
      <c r="U135" s="10"/>
      <c r="V135" s="10"/>
      <c r="W135" s="23"/>
      <c r="X135" s="10"/>
      <c r="Y135" s="10"/>
      <c r="Z135" s="10"/>
      <c r="AA135" s="10"/>
      <c r="AB135" s="10"/>
      <c r="AC135" s="10"/>
    </row>
    <row r="136" s="2" customFormat="1" spans="1:29">
      <c r="A136" s="10"/>
      <c r="B136" s="10"/>
      <c r="C136" s="28"/>
      <c r="D136" s="29"/>
      <c r="E136" s="30"/>
      <c r="F136" s="28"/>
      <c r="G136" s="28"/>
      <c r="H136" s="32"/>
      <c r="I136" s="34"/>
      <c r="J136" s="34"/>
      <c r="K136" s="34"/>
      <c r="L136" s="34"/>
      <c r="M136" s="34"/>
      <c r="N136" s="34"/>
      <c r="O136" s="34"/>
      <c r="P136" s="34"/>
      <c r="Q136" s="34"/>
      <c r="R136" s="34"/>
      <c r="S136" s="12"/>
      <c r="T136" s="10"/>
      <c r="U136" s="10"/>
      <c r="V136" s="10"/>
      <c r="W136" s="23"/>
      <c r="X136" s="10"/>
      <c r="Y136" s="10"/>
      <c r="Z136" s="10"/>
      <c r="AA136" s="10"/>
      <c r="AB136" s="10"/>
      <c r="AC136" s="10"/>
    </row>
    <row r="137" s="2" customFormat="1" spans="1:29">
      <c r="A137" s="10"/>
      <c r="B137" s="10"/>
      <c r="C137" s="28"/>
      <c r="D137" s="29"/>
      <c r="E137" s="30"/>
      <c r="F137" s="28"/>
      <c r="G137" s="29"/>
      <c r="H137" s="32"/>
      <c r="I137" s="34"/>
      <c r="J137" s="34"/>
      <c r="K137" s="34"/>
      <c r="L137" s="34"/>
      <c r="M137" s="34"/>
      <c r="N137" s="34"/>
      <c r="O137" s="34"/>
      <c r="P137" s="34"/>
      <c r="Q137" s="34"/>
      <c r="R137" s="34"/>
      <c r="S137" s="12"/>
      <c r="T137" s="10"/>
      <c r="U137" s="10"/>
      <c r="V137" s="10"/>
      <c r="W137" s="23"/>
      <c r="X137" s="10"/>
      <c r="Y137" s="10"/>
      <c r="Z137" s="10"/>
      <c r="AA137" s="10"/>
      <c r="AB137" s="10"/>
      <c r="AC137" s="10"/>
    </row>
    <row r="138" s="2" customFormat="1" spans="1:29">
      <c r="A138" s="10"/>
      <c r="B138" s="10"/>
      <c r="C138" s="28"/>
      <c r="D138" s="29"/>
      <c r="E138" s="30"/>
      <c r="F138" s="28"/>
      <c r="G138" s="28"/>
      <c r="H138" s="32"/>
      <c r="I138" s="34"/>
      <c r="J138" s="34"/>
      <c r="K138" s="34"/>
      <c r="L138" s="34"/>
      <c r="M138" s="34"/>
      <c r="N138" s="34"/>
      <c r="O138" s="34"/>
      <c r="P138" s="34"/>
      <c r="Q138" s="34"/>
      <c r="R138" s="34"/>
      <c r="S138" s="12"/>
      <c r="T138" s="10"/>
      <c r="U138" s="10"/>
      <c r="V138" s="10"/>
      <c r="W138" s="23"/>
      <c r="X138" s="10"/>
      <c r="Y138" s="10"/>
      <c r="Z138" s="10"/>
      <c r="AA138" s="10"/>
      <c r="AB138" s="10"/>
      <c r="AC138" s="10"/>
    </row>
    <row r="139" s="2" customFormat="1" spans="1:29">
      <c r="A139" s="10"/>
      <c r="B139" s="10"/>
      <c r="C139" s="28"/>
      <c r="D139" s="29"/>
      <c r="E139" s="30"/>
      <c r="F139" s="28"/>
      <c r="G139" s="28"/>
      <c r="H139" s="32"/>
      <c r="I139" s="34"/>
      <c r="J139" s="34"/>
      <c r="K139" s="34"/>
      <c r="L139" s="34"/>
      <c r="M139" s="34"/>
      <c r="N139" s="34"/>
      <c r="O139" s="34"/>
      <c r="P139" s="34"/>
      <c r="Q139" s="34"/>
      <c r="R139" s="34"/>
      <c r="S139" s="12"/>
      <c r="T139" s="10"/>
      <c r="U139" s="10"/>
      <c r="V139" s="10"/>
      <c r="W139" s="23"/>
      <c r="X139" s="10"/>
      <c r="Y139" s="10"/>
      <c r="Z139" s="10"/>
      <c r="AA139" s="10"/>
      <c r="AB139" s="10"/>
      <c r="AC139" s="10"/>
    </row>
    <row r="140" s="2" customFormat="1" spans="1:29">
      <c r="A140" s="10"/>
      <c r="B140" s="10"/>
      <c r="C140" s="28"/>
      <c r="D140" s="29"/>
      <c r="E140" s="30"/>
      <c r="F140" s="28"/>
      <c r="G140" s="28"/>
      <c r="H140" s="32"/>
      <c r="I140" s="34"/>
      <c r="J140" s="34"/>
      <c r="K140" s="34"/>
      <c r="L140" s="34"/>
      <c r="M140" s="34"/>
      <c r="N140" s="34"/>
      <c r="O140" s="34"/>
      <c r="P140" s="34"/>
      <c r="Q140" s="34"/>
      <c r="R140" s="34"/>
      <c r="S140" s="12"/>
      <c r="T140" s="10"/>
      <c r="U140" s="10"/>
      <c r="V140" s="10"/>
      <c r="W140" s="23"/>
      <c r="X140" s="10"/>
      <c r="Y140" s="10"/>
      <c r="Z140" s="10"/>
      <c r="AA140" s="10"/>
      <c r="AB140" s="10"/>
      <c r="AC140" s="10"/>
    </row>
    <row r="141" s="2" customFormat="1" spans="1:29">
      <c r="A141" s="10"/>
      <c r="B141" s="10"/>
      <c r="C141" s="28"/>
      <c r="D141" s="29"/>
      <c r="E141" s="30"/>
      <c r="F141" s="28"/>
      <c r="G141" s="28"/>
      <c r="H141" s="32"/>
      <c r="I141" s="34"/>
      <c r="J141" s="34"/>
      <c r="K141" s="34"/>
      <c r="L141" s="34"/>
      <c r="M141" s="34"/>
      <c r="N141" s="34"/>
      <c r="O141" s="34"/>
      <c r="P141" s="34"/>
      <c r="Q141" s="34"/>
      <c r="R141" s="34"/>
      <c r="S141" s="12"/>
      <c r="T141" s="10"/>
      <c r="U141" s="10"/>
      <c r="V141" s="10"/>
      <c r="W141" s="23"/>
      <c r="X141" s="10"/>
      <c r="Y141" s="10"/>
      <c r="Z141" s="10"/>
      <c r="AA141" s="10"/>
      <c r="AB141" s="10"/>
      <c r="AC141" s="10"/>
    </row>
    <row r="142" s="2" customFormat="1" spans="1:29">
      <c r="A142" s="10"/>
      <c r="B142" s="10"/>
      <c r="C142" s="28"/>
      <c r="D142" s="29"/>
      <c r="E142" s="30"/>
      <c r="F142" s="28"/>
      <c r="G142" s="28"/>
      <c r="H142" s="32"/>
      <c r="I142" s="34"/>
      <c r="J142" s="34"/>
      <c r="K142" s="34"/>
      <c r="L142" s="34"/>
      <c r="M142" s="34"/>
      <c r="N142" s="34"/>
      <c r="O142" s="34"/>
      <c r="P142" s="34"/>
      <c r="Q142" s="34"/>
      <c r="R142" s="34"/>
      <c r="S142" s="12"/>
      <c r="T142" s="10"/>
      <c r="U142" s="10"/>
      <c r="V142" s="10"/>
      <c r="W142" s="23"/>
      <c r="X142" s="10"/>
      <c r="Y142" s="10"/>
      <c r="Z142" s="10"/>
      <c r="AA142" s="10"/>
      <c r="AB142" s="10"/>
      <c r="AC142" s="10"/>
    </row>
    <row r="143" s="2" customFormat="1" spans="1:29">
      <c r="A143" s="10"/>
      <c r="B143" s="10"/>
      <c r="C143" s="28"/>
      <c r="D143" s="29"/>
      <c r="E143" s="30"/>
      <c r="F143" s="28"/>
      <c r="G143" s="28"/>
      <c r="H143" s="32"/>
      <c r="I143" s="34"/>
      <c r="J143" s="34"/>
      <c r="K143" s="34"/>
      <c r="L143" s="34"/>
      <c r="M143" s="34"/>
      <c r="N143" s="34"/>
      <c r="O143" s="34"/>
      <c r="P143" s="34"/>
      <c r="Q143" s="34"/>
      <c r="R143" s="34"/>
      <c r="S143" s="12"/>
      <c r="T143" s="10"/>
      <c r="U143" s="10"/>
      <c r="V143" s="10"/>
      <c r="W143" s="23"/>
      <c r="X143" s="10"/>
      <c r="Y143" s="10"/>
      <c r="Z143" s="10"/>
      <c r="AA143" s="10"/>
      <c r="AB143" s="10"/>
      <c r="AC143" s="10"/>
    </row>
    <row r="144" s="2" customFormat="1" spans="1:29">
      <c r="A144" s="10"/>
      <c r="B144" s="10"/>
      <c r="C144" s="28"/>
      <c r="D144" s="29"/>
      <c r="E144" s="30"/>
      <c r="F144" s="28"/>
      <c r="G144" s="28"/>
      <c r="H144" s="32"/>
      <c r="I144" s="34"/>
      <c r="J144" s="34"/>
      <c r="K144" s="34"/>
      <c r="L144" s="34"/>
      <c r="M144" s="34"/>
      <c r="N144" s="34"/>
      <c r="O144" s="34"/>
      <c r="P144" s="34"/>
      <c r="Q144" s="34"/>
      <c r="R144" s="34"/>
      <c r="S144" s="12"/>
      <c r="T144" s="10"/>
      <c r="U144" s="10"/>
      <c r="V144" s="10"/>
      <c r="W144" s="23"/>
      <c r="X144" s="10"/>
      <c r="Y144" s="10"/>
      <c r="Z144" s="10"/>
      <c r="AA144" s="10"/>
      <c r="AB144" s="10"/>
      <c r="AC144" s="10"/>
    </row>
    <row r="145" s="2" customFormat="1" spans="1:29">
      <c r="A145" s="10"/>
      <c r="B145" s="10"/>
      <c r="C145" s="28"/>
      <c r="D145" s="29"/>
      <c r="E145" s="30"/>
      <c r="F145" s="28"/>
      <c r="G145" s="28"/>
      <c r="H145" s="32"/>
      <c r="I145" s="34"/>
      <c r="J145" s="34"/>
      <c r="K145" s="34"/>
      <c r="L145" s="34"/>
      <c r="M145" s="34"/>
      <c r="N145" s="34"/>
      <c r="O145" s="34"/>
      <c r="P145" s="34"/>
      <c r="Q145" s="34"/>
      <c r="R145" s="34"/>
      <c r="S145" s="12"/>
      <c r="T145" s="10"/>
      <c r="U145" s="10"/>
      <c r="V145" s="10"/>
      <c r="W145" s="23"/>
      <c r="X145" s="10"/>
      <c r="Y145" s="10"/>
      <c r="Z145" s="10"/>
      <c r="AA145" s="10"/>
      <c r="AB145" s="10"/>
      <c r="AC145" s="10"/>
    </row>
    <row r="146" s="2" customFormat="1" spans="1:29">
      <c r="A146" s="10"/>
      <c r="B146" s="10"/>
      <c r="C146" s="28"/>
      <c r="D146" s="29"/>
      <c r="E146" s="30"/>
      <c r="F146" s="28"/>
      <c r="G146" s="28"/>
      <c r="H146" s="32"/>
      <c r="I146" s="34"/>
      <c r="J146" s="34"/>
      <c r="K146" s="34"/>
      <c r="L146" s="34"/>
      <c r="M146" s="34"/>
      <c r="N146" s="34"/>
      <c r="O146" s="34"/>
      <c r="P146" s="34"/>
      <c r="Q146" s="34"/>
      <c r="R146" s="34"/>
      <c r="S146" s="12"/>
      <c r="T146" s="10"/>
      <c r="U146" s="10"/>
      <c r="V146" s="10"/>
      <c r="W146" s="23"/>
      <c r="X146" s="10"/>
      <c r="Y146" s="10"/>
      <c r="Z146" s="10"/>
      <c r="AA146" s="10"/>
      <c r="AB146" s="10"/>
      <c r="AC146" s="10"/>
    </row>
    <row r="147" s="2" customFormat="1" spans="1:29">
      <c r="A147" s="10"/>
      <c r="B147" s="10"/>
      <c r="C147" s="28"/>
      <c r="D147" s="29"/>
      <c r="E147" s="30"/>
      <c r="F147" s="28"/>
      <c r="G147" s="28"/>
      <c r="H147" s="32"/>
      <c r="I147" s="34"/>
      <c r="J147" s="34"/>
      <c r="K147" s="34"/>
      <c r="L147" s="34"/>
      <c r="M147" s="34"/>
      <c r="N147" s="34"/>
      <c r="O147" s="34"/>
      <c r="P147" s="34"/>
      <c r="Q147" s="34"/>
      <c r="R147" s="34"/>
      <c r="S147" s="12"/>
      <c r="T147" s="10"/>
      <c r="U147" s="10"/>
      <c r="V147" s="10"/>
      <c r="W147" s="23"/>
      <c r="X147" s="10"/>
      <c r="Y147" s="10"/>
      <c r="Z147" s="10"/>
      <c r="AA147" s="10"/>
      <c r="AB147" s="10"/>
      <c r="AC147" s="10"/>
    </row>
    <row r="148" s="2" customFormat="1" spans="1:29">
      <c r="A148" s="10"/>
      <c r="B148" s="10"/>
      <c r="C148" s="28"/>
      <c r="D148" s="29"/>
      <c r="E148" s="30"/>
      <c r="F148" s="28"/>
      <c r="G148" s="28"/>
      <c r="H148" s="32"/>
      <c r="I148" s="34"/>
      <c r="J148" s="34"/>
      <c r="K148" s="34"/>
      <c r="L148" s="34"/>
      <c r="M148" s="34"/>
      <c r="N148" s="34"/>
      <c r="O148" s="34"/>
      <c r="P148" s="34"/>
      <c r="Q148" s="34"/>
      <c r="R148" s="34"/>
      <c r="S148" s="12"/>
      <c r="T148" s="10"/>
      <c r="U148" s="10"/>
      <c r="V148" s="10"/>
      <c r="W148" s="23"/>
      <c r="X148" s="10"/>
      <c r="Y148" s="10"/>
      <c r="Z148" s="10"/>
      <c r="AA148" s="10"/>
      <c r="AB148" s="10"/>
      <c r="AC148" s="10"/>
    </row>
    <row r="149" s="2" customFormat="1" spans="1:29">
      <c r="A149" s="10"/>
      <c r="B149" s="10"/>
      <c r="C149" s="28"/>
      <c r="D149" s="29"/>
      <c r="E149" s="30"/>
      <c r="F149" s="28"/>
      <c r="G149" s="28"/>
      <c r="H149" s="32"/>
      <c r="I149" s="34"/>
      <c r="J149" s="34"/>
      <c r="K149" s="34"/>
      <c r="L149" s="34"/>
      <c r="M149" s="34"/>
      <c r="N149" s="34"/>
      <c r="O149" s="34"/>
      <c r="P149" s="34"/>
      <c r="Q149" s="34"/>
      <c r="R149" s="34"/>
      <c r="S149" s="12"/>
      <c r="T149" s="10"/>
      <c r="U149" s="10"/>
      <c r="V149" s="10"/>
      <c r="W149" s="23"/>
      <c r="X149" s="10"/>
      <c r="Y149" s="10"/>
      <c r="Z149" s="10"/>
      <c r="AA149" s="10"/>
      <c r="AB149" s="10"/>
      <c r="AC149" s="10"/>
    </row>
    <row r="150" s="2" customFormat="1" spans="1:29">
      <c r="A150" s="10"/>
      <c r="B150" s="10"/>
      <c r="C150" s="28"/>
      <c r="D150" s="29"/>
      <c r="E150" s="30"/>
      <c r="F150" s="28"/>
      <c r="G150" s="28"/>
      <c r="H150" s="32"/>
      <c r="I150" s="34"/>
      <c r="J150" s="34"/>
      <c r="K150" s="34"/>
      <c r="L150" s="34"/>
      <c r="M150" s="34"/>
      <c r="N150" s="34"/>
      <c r="O150" s="34"/>
      <c r="P150" s="34"/>
      <c r="Q150" s="34"/>
      <c r="R150" s="34"/>
      <c r="S150" s="12"/>
      <c r="T150" s="10"/>
      <c r="U150" s="10"/>
      <c r="V150" s="10"/>
      <c r="W150" s="23"/>
      <c r="X150" s="10"/>
      <c r="Y150" s="10"/>
      <c r="Z150" s="10"/>
      <c r="AA150" s="10"/>
      <c r="AB150" s="10"/>
      <c r="AC150" s="10"/>
    </row>
    <row r="151" s="2" customFormat="1" spans="1:29">
      <c r="A151" s="10"/>
      <c r="B151" s="10"/>
      <c r="C151" s="28"/>
      <c r="D151" s="29"/>
      <c r="E151" s="30"/>
      <c r="F151" s="28"/>
      <c r="G151" s="28"/>
      <c r="H151" s="32"/>
      <c r="I151" s="34"/>
      <c r="J151" s="34"/>
      <c r="K151" s="34"/>
      <c r="L151" s="34"/>
      <c r="M151" s="34"/>
      <c r="N151" s="34"/>
      <c r="O151" s="34"/>
      <c r="P151" s="34"/>
      <c r="Q151" s="34"/>
      <c r="R151" s="34"/>
      <c r="S151" s="12"/>
      <c r="T151" s="10"/>
      <c r="U151" s="10"/>
      <c r="V151" s="10"/>
      <c r="W151" s="23"/>
      <c r="X151" s="10"/>
      <c r="Y151" s="10"/>
      <c r="Z151" s="10"/>
      <c r="AA151" s="10"/>
      <c r="AB151" s="10"/>
      <c r="AC151" s="10"/>
    </row>
    <row r="152" s="2" customFormat="1" spans="1:29">
      <c r="A152" s="10"/>
      <c r="B152" s="10"/>
      <c r="C152" s="28"/>
      <c r="D152" s="29"/>
      <c r="E152" s="30"/>
      <c r="F152" s="28"/>
      <c r="G152" s="28"/>
      <c r="H152" s="32"/>
      <c r="I152" s="34"/>
      <c r="J152" s="34"/>
      <c r="K152" s="34"/>
      <c r="L152" s="34"/>
      <c r="M152" s="34"/>
      <c r="N152" s="34"/>
      <c r="O152" s="34"/>
      <c r="P152" s="34"/>
      <c r="Q152" s="34"/>
      <c r="R152" s="34"/>
      <c r="S152" s="12"/>
      <c r="T152" s="10"/>
      <c r="U152" s="10"/>
      <c r="V152" s="10"/>
      <c r="W152" s="23"/>
      <c r="X152" s="10"/>
      <c r="Y152" s="10"/>
      <c r="Z152" s="10"/>
      <c r="AA152" s="10"/>
      <c r="AB152" s="10"/>
      <c r="AC152" s="10"/>
    </row>
    <row r="153" s="2" customFormat="1" spans="1:29">
      <c r="A153" s="10"/>
      <c r="B153" s="10"/>
      <c r="C153" s="28"/>
      <c r="D153" s="29"/>
      <c r="E153" s="30"/>
      <c r="F153" s="28"/>
      <c r="G153" s="28"/>
      <c r="H153" s="32"/>
      <c r="I153" s="34"/>
      <c r="J153" s="34"/>
      <c r="K153" s="34"/>
      <c r="L153" s="34"/>
      <c r="M153" s="34"/>
      <c r="N153" s="34"/>
      <c r="O153" s="34"/>
      <c r="P153" s="34"/>
      <c r="Q153" s="34"/>
      <c r="R153" s="34"/>
      <c r="S153" s="12"/>
      <c r="T153" s="10"/>
      <c r="U153" s="10"/>
      <c r="V153" s="10"/>
      <c r="W153" s="23"/>
      <c r="X153" s="10"/>
      <c r="Y153" s="10"/>
      <c r="Z153" s="10"/>
      <c r="AA153" s="10"/>
      <c r="AB153" s="10"/>
      <c r="AC153" s="10"/>
    </row>
    <row r="154" s="2" customFormat="1" spans="1:29">
      <c r="A154" s="10"/>
      <c r="B154" s="10"/>
      <c r="C154" s="28"/>
      <c r="D154" s="29"/>
      <c r="E154" s="30"/>
      <c r="F154" s="28"/>
      <c r="G154" s="28"/>
      <c r="H154" s="32"/>
      <c r="I154" s="34"/>
      <c r="J154" s="34"/>
      <c r="K154" s="34"/>
      <c r="L154" s="34"/>
      <c r="M154" s="34"/>
      <c r="N154" s="34"/>
      <c r="O154" s="34"/>
      <c r="P154" s="34"/>
      <c r="Q154" s="34"/>
      <c r="R154" s="34"/>
      <c r="S154" s="12"/>
      <c r="T154" s="10"/>
      <c r="U154" s="10"/>
      <c r="V154" s="10"/>
      <c r="W154" s="23"/>
      <c r="X154" s="10"/>
      <c r="Y154" s="10"/>
      <c r="Z154" s="10"/>
      <c r="AA154" s="10"/>
      <c r="AB154" s="10"/>
      <c r="AC154" s="10"/>
    </row>
    <row r="155" s="2" customFormat="1" spans="1:29">
      <c r="A155" s="10"/>
      <c r="B155" s="10"/>
      <c r="C155" s="28"/>
      <c r="D155" s="29"/>
      <c r="E155" s="30"/>
      <c r="F155" s="28"/>
      <c r="G155" s="28"/>
      <c r="H155" s="32"/>
      <c r="I155" s="34"/>
      <c r="J155" s="34"/>
      <c r="K155" s="34"/>
      <c r="L155" s="34"/>
      <c r="M155" s="34"/>
      <c r="N155" s="34"/>
      <c r="O155" s="34"/>
      <c r="P155" s="34"/>
      <c r="Q155" s="34"/>
      <c r="R155" s="34"/>
      <c r="S155" s="12"/>
      <c r="T155" s="10"/>
      <c r="U155" s="10"/>
      <c r="V155" s="10"/>
      <c r="W155" s="23"/>
      <c r="X155" s="10"/>
      <c r="Y155" s="10"/>
      <c r="Z155" s="10"/>
      <c r="AA155" s="10"/>
      <c r="AB155" s="10"/>
      <c r="AC155" s="10"/>
    </row>
    <row r="156" s="2" customFormat="1" spans="1:29">
      <c r="A156" s="10"/>
      <c r="B156" s="10"/>
      <c r="C156" s="28"/>
      <c r="D156" s="29"/>
      <c r="E156" s="30"/>
      <c r="F156" s="28"/>
      <c r="G156" s="28"/>
      <c r="H156" s="32"/>
      <c r="I156" s="34"/>
      <c r="J156" s="34"/>
      <c r="K156" s="34"/>
      <c r="L156" s="34"/>
      <c r="M156" s="34"/>
      <c r="N156" s="34"/>
      <c r="O156" s="34"/>
      <c r="P156" s="34"/>
      <c r="Q156" s="34"/>
      <c r="R156" s="34"/>
      <c r="S156" s="12"/>
      <c r="T156" s="10"/>
      <c r="U156" s="10"/>
      <c r="V156" s="10"/>
      <c r="W156" s="23"/>
      <c r="X156" s="10"/>
      <c r="Y156" s="10"/>
      <c r="Z156" s="10"/>
      <c r="AA156" s="10"/>
      <c r="AB156" s="10"/>
      <c r="AC156" s="10"/>
    </row>
    <row r="157" s="2" customFormat="1" spans="1:29">
      <c r="A157" s="10"/>
      <c r="B157" s="10"/>
      <c r="C157" s="28"/>
      <c r="D157" s="29"/>
      <c r="E157" s="30"/>
      <c r="F157" s="28"/>
      <c r="G157" s="28"/>
      <c r="H157" s="32"/>
      <c r="I157" s="34"/>
      <c r="J157" s="34"/>
      <c r="K157" s="34"/>
      <c r="L157" s="34"/>
      <c r="M157" s="34"/>
      <c r="N157" s="34"/>
      <c r="O157" s="34"/>
      <c r="P157" s="34"/>
      <c r="Q157" s="34"/>
      <c r="R157" s="34"/>
      <c r="S157" s="12"/>
      <c r="T157" s="10"/>
      <c r="U157" s="10"/>
      <c r="V157" s="10"/>
      <c r="W157" s="23"/>
      <c r="X157" s="10"/>
      <c r="Y157" s="10"/>
      <c r="Z157" s="10"/>
      <c r="AA157" s="10"/>
      <c r="AB157" s="10"/>
      <c r="AC157" s="10"/>
    </row>
    <row r="158" s="2" customFormat="1" spans="1:29">
      <c r="A158" s="10"/>
      <c r="B158" s="10"/>
      <c r="C158" s="28"/>
      <c r="D158" s="29"/>
      <c r="E158" s="30"/>
      <c r="F158" s="28"/>
      <c r="G158" s="28"/>
      <c r="H158" s="32"/>
      <c r="I158" s="34"/>
      <c r="J158" s="34"/>
      <c r="K158" s="34"/>
      <c r="L158" s="34"/>
      <c r="M158" s="34"/>
      <c r="N158" s="34"/>
      <c r="O158" s="34"/>
      <c r="P158" s="34"/>
      <c r="Q158" s="34"/>
      <c r="R158" s="34"/>
      <c r="S158" s="12"/>
      <c r="T158" s="10"/>
      <c r="U158" s="10"/>
      <c r="V158" s="10"/>
      <c r="W158" s="23"/>
      <c r="X158" s="10"/>
      <c r="Y158" s="10"/>
      <c r="Z158" s="10"/>
      <c r="AA158" s="10"/>
      <c r="AB158" s="10"/>
      <c r="AC158" s="10"/>
    </row>
    <row r="159" s="2" customFormat="1" spans="1:29">
      <c r="A159" s="10"/>
      <c r="B159" s="10"/>
      <c r="C159" s="28"/>
      <c r="D159" s="29"/>
      <c r="E159" s="30"/>
      <c r="F159" s="28"/>
      <c r="G159" s="28"/>
      <c r="H159" s="32"/>
      <c r="I159" s="34"/>
      <c r="J159" s="34"/>
      <c r="K159" s="34"/>
      <c r="L159" s="34"/>
      <c r="M159" s="34"/>
      <c r="N159" s="34"/>
      <c r="O159" s="34"/>
      <c r="P159" s="34"/>
      <c r="Q159" s="34"/>
      <c r="R159" s="34"/>
      <c r="S159" s="12"/>
      <c r="T159" s="10"/>
      <c r="U159" s="10"/>
      <c r="V159" s="10"/>
      <c r="W159" s="23"/>
      <c r="X159" s="10"/>
      <c r="Y159" s="10"/>
      <c r="Z159" s="10"/>
      <c r="AA159" s="10"/>
      <c r="AB159" s="10"/>
      <c r="AC159" s="10"/>
    </row>
    <row r="160" s="2" customFormat="1" spans="1:29">
      <c r="A160" s="10"/>
      <c r="B160" s="10"/>
      <c r="C160" s="28"/>
      <c r="D160" s="29"/>
      <c r="E160" s="30"/>
      <c r="F160" s="28"/>
      <c r="G160" s="28"/>
      <c r="H160" s="32"/>
      <c r="I160" s="34"/>
      <c r="J160" s="34"/>
      <c r="K160" s="34"/>
      <c r="L160" s="34"/>
      <c r="M160" s="34"/>
      <c r="N160" s="34"/>
      <c r="O160" s="34"/>
      <c r="P160" s="34"/>
      <c r="Q160" s="34"/>
      <c r="R160" s="34"/>
      <c r="S160" s="12"/>
      <c r="T160" s="10"/>
      <c r="U160" s="10"/>
      <c r="V160" s="10"/>
      <c r="W160" s="23"/>
      <c r="X160" s="10"/>
      <c r="Y160" s="10"/>
      <c r="Z160" s="10"/>
      <c r="AA160" s="10"/>
      <c r="AB160" s="10"/>
      <c r="AC160" s="10"/>
    </row>
    <row r="161" s="2" customFormat="1" spans="1:29">
      <c r="A161" s="10"/>
      <c r="B161" s="10"/>
      <c r="C161" s="28"/>
      <c r="D161" s="29"/>
      <c r="E161" s="30"/>
      <c r="F161" s="28"/>
      <c r="G161" s="28"/>
      <c r="H161" s="32"/>
      <c r="I161" s="34"/>
      <c r="J161" s="34"/>
      <c r="K161" s="34"/>
      <c r="L161" s="34"/>
      <c r="M161" s="34"/>
      <c r="N161" s="34"/>
      <c r="O161" s="34"/>
      <c r="P161" s="34"/>
      <c r="Q161" s="34"/>
      <c r="R161" s="34"/>
      <c r="S161" s="12"/>
      <c r="T161" s="10"/>
      <c r="U161" s="10"/>
      <c r="V161" s="10"/>
      <c r="W161" s="23"/>
      <c r="X161" s="10"/>
      <c r="Y161" s="10"/>
      <c r="Z161" s="10"/>
      <c r="AA161" s="10"/>
      <c r="AB161" s="10"/>
      <c r="AC161" s="10"/>
    </row>
    <row r="162" s="2" customFormat="1" spans="1:29">
      <c r="A162" s="10"/>
      <c r="B162" s="10"/>
      <c r="C162" s="28"/>
      <c r="D162" s="29"/>
      <c r="E162" s="30"/>
      <c r="F162" s="28"/>
      <c r="G162" s="28"/>
      <c r="H162" s="32"/>
      <c r="I162" s="34"/>
      <c r="J162" s="34"/>
      <c r="K162" s="34"/>
      <c r="L162" s="34"/>
      <c r="M162" s="34"/>
      <c r="N162" s="34"/>
      <c r="O162" s="34"/>
      <c r="P162" s="34"/>
      <c r="Q162" s="34"/>
      <c r="R162" s="34"/>
      <c r="S162" s="12"/>
      <c r="T162" s="10"/>
      <c r="U162" s="10"/>
      <c r="V162" s="10"/>
      <c r="W162" s="23"/>
      <c r="X162" s="10"/>
      <c r="Y162" s="10"/>
      <c r="Z162" s="10"/>
      <c r="AA162" s="10"/>
      <c r="AB162" s="10"/>
      <c r="AC162" s="10"/>
    </row>
    <row r="163" s="2" customFormat="1" spans="1:29">
      <c r="A163" s="10"/>
      <c r="B163" s="23"/>
      <c r="C163" s="28"/>
      <c r="D163" s="29"/>
      <c r="E163" s="33"/>
      <c r="F163" s="23"/>
      <c r="G163" s="23"/>
      <c r="H163" s="32"/>
      <c r="I163" s="34"/>
      <c r="J163" s="34"/>
      <c r="K163" s="34"/>
      <c r="L163" s="34"/>
      <c r="M163" s="34"/>
      <c r="N163" s="34"/>
      <c r="O163" s="34"/>
      <c r="P163" s="34"/>
      <c r="Q163" s="34"/>
      <c r="R163" s="34"/>
      <c r="S163" s="12"/>
      <c r="T163" s="10"/>
      <c r="U163" s="10"/>
      <c r="V163" s="10"/>
      <c r="W163" s="23"/>
      <c r="X163" s="10"/>
      <c r="Y163" s="10"/>
      <c r="Z163" s="10"/>
      <c r="AA163" s="10"/>
      <c r="AB163" s="10"/>
      <c r="AC163" s="10"/>
    </row>
    <row r="164" s="2" customFormat="1" spans="1:29">
      <c r="A164" s="10"/>
      <c r="B164" s="23"/>
      <c r="C164" s="28"/>
      <c r="D164" s="29"/>
      <c r="E164" s="33"/>
      <c r="F164" s="23"/>
      <c r="G164" s="23"/>
      <c r="H164" s="32"/>
      <c r="I164" s="34"/>
      <c r="J164" s="34"/>
      <c r="K164" s="34"/>
      <c r="L164" s="34"/>
      <c r="M164" s="34"/>
      <c r="N164" s="34"/>
      <c r="O164" s="34"/>
      <c r="P164" s="34"/>
      <c r="Q164" s="34"/>
      <c r="R164" s="34"/>
      <c r="S164" s="12"/>
      <c r="T164" s="10"/>
      <c r="U164" s="10"/>
      <c r="V164" s="10"/>
      <c r="W164" s="23"/>
      <c r="X164" s="10"/>
      <c r="Y164" s="10"/>
      <c r="Z164" s="10"/>
      <c r="AA164" s="10"/>
      <c r="AB164" s="10"/>
      <c r="AC164" s="10"/>
    </row>
    <row r="165" s="2" customFormat="1" spans="1:29">
      <c r="A165" s="10"/>
      <c r="B165" s="23"/>
      <c r="C165" s="28"/>
      <c r="D165" s="29"/>
      <c r="E165" s="33"/>
      <c r="F165" s="23"/>
      <c r="G165" s="23"/>
      <c r="H165" s="32"/>
      <c r="I165" s="34"/>
      <c r="J165" s="34"/>
      <c r="K165" s="34"/>
      <c r="L165" s="34"/>
      <c r="M165" s="34"/>
      <c r="N165" s="34"/>
      <c r="O165" s="34"/>
      <c r="P165" s="34"/>
      <c r="Q165" s="34"/>
      <c r="R165" s="34"/>
      <c r="S165" s="12"/>
      <c r="T165" s="10"/>
      <c r="U165" s="10"/>
      <c r="V165" s="10"/>
      <c r="W165" s="23"/>
      <c r="X165" s="10"/>
      <c r="Y165" s="10"/>
      <c r="Z165" s="10"/>
      <c r="AA165" s="10"/>
      <c r="AB165" s="10"/>
      <c r="AC165" s="10"/>
    </row>
    <row r="166" s="2" customFormat="1" spans="1:29">
      <c r="A166" s="10"/>
      <c r="B166" s="23"/>
      <c r="C166" s="28"/>
      <c r="D166" s="29"/>
      <c r="E166" s="33"/>
      <c r="F166" s="23"/>
      <c r="G166" s="23"/>
      <c r="H166" s="32"/>
      <c r="I166" s="34"/>
      <c r="J166" s="34"/>
      <c r="K166" s="34"/>
      <c r="L166" s="34"/>
      <c r="M166" s="34"/>
      <c r="N166" s="34"/>
      <c r="O166" s="34"/>
      <c r="P166" s="34"/>
      <c r="Q166" s="34"/>
      <c r="R166" s="34"/>
      <c r="S166" s="12"/>
      <c r="T166" s="10"/>
      <c r="U166" s="10"/>
      <c r="V166" s="10"/>
      <c r="W166" s="23"/>
      <c r="X166" s="10"/>
      <c r="Y166" s="10"/>
      <c r="Z166" s="10"/>
      <c r="AA166" s="10"/>
      <c r="AB166" s="10"/>
      <c r="AC166" s="10"/>
    </row>
    <row r="167" s="2" customFormat="1" spans="1:29">
      <c r="A167" s="10"/>
      <c r="B167" s="23"/>
      <c r="C167" s="28"/>
      <c r="D167" s="29"/>
      <c r="E167" s="33"/>
      <c r="F167" s="23"/>
      <c r="G167" s="23"/>
      <c r="H167" s="32"/>
      <c r="I167" s="34"/>
      <c r="J167" s="34"/>
      <c r="K167" s="34"/>
      <c r="L167" s="34"/>
      <c r="M167" s="34"/>
      <c r="N167" s="34"/>
      <c r="O167" s="34"/>
      <c r="P167" s="34"/>
      <c r="Q167" s="34"/>
      <c r="R167" s="34"/>
      <c r="S167" s="12"/>
      <c r="T167" s="10"/>
      <c r="U167" s="10"/>
      <c r="V167" s="10"/>
      <c r="W167" s="23"/>
      <c r="X167" s="10"/>
      <c r="Y167" s="10"/>
      <c r="Z167" s="10"/>
      <c r="AA167" s="10"/>
      <c r="AB167" s="10"/>
      <c r="AC167" s="10"/>
    </row>
    <row r="168" s="2" customFormat="1" spans="1:29">
      <c r="A168" s="10"/>
      <c r="B168" s="23"/>
      <c r="C168" s="28"/>
      <c r="D168" s="29"/>
      <c r="E168" s="33"/>
      <c r="F168" s="23"/>
      <c r="G168" s="23"/>
      <c r="H168" s="32"/>
      <c r="I168" s="34"/>
      <c r="J168" s="34"/>
      <c r="K168" s="34"/>
      <c r="L168" s="34"/>
      <c r="M168" s="34"/>
      <c r="N168" s="34"/>
      <c r="O168" s="34"/>
      <c r="P168" s="34"/>
      <c r="Q168" s="34"/>
      <c r="R168" s="34"/>
      <c r="S168" s="12"/>
      <c r="T168" s="10"/>
      <c r="U168" s="10"/>
      <c r="V168" s="10"/>
      <c r="W168" s="23"/>
      <c r="X168" s="10"/>
      <c r="Y168" s="10"/>
      <c r="Z168" s="10"/>
      <c r="AA168" s="10"/>
      <c r="AB168" s="10"/>
      <c r="AC168" s="10"/>
    </row>
    <row r="169" s="2" customFormat="1" spans="1:29">
      <c r="A169" s="10"/>
      <c r="B169" s="23"/>
      <c r="C169" s="28"/>
      <c r="D169" s="29"/>
      <c r="E169" s="12"/>
      <c r="F169" s="23"/>
      <c r="G169" s="23"/>
      <c r="H169" s="17"/>
      <c r="I169" s="34"/>
      <c r="J169" s="34"/>
      <c r="K169" s="34"/>
      <c r="L169" s="34"/>
      <c r="M169" s="34"/>
      <c r="N169" s="34"/>
      <c r="O169" s="34"/>
      <c r="P169" s="34"/>
      <c r="Q169" s="34"/>
      <c r="R169" s="34"/>
      <c r="S169" s="12"/>
      <c r="T169" s="10"/>
      <c r="U169" s="10"/>
      <c r="V169" s="10"/>
      <c r="W169" s="23"/>
      <c r="X169" s="10"/>
      <c r="Y169" s="10"/>
      <c r="Z169" s="10"/>
      <c r="AA169" s="10"/>
      <c r="AB169" s="10"/>
      <c r="AC169" s="10"/>
    </row>
    <row r="170" s="2" customFormat="1" spans="1:29">
      <c r="A170" s="10"/>
      <c r="B170" s="23"/>
      <c r="C170" s="28"/>
      <c r="D170" s="29"/>
      <c r="E170" s="35"/>
      <c r="F170" s="23"/>
      <c r="G170" s="23"/>
      <c r="H170" s="36"/>
      <c r="I170" s="34"/>
      <c r="J170" s="34"/>
      <c r="K170" s="34"/>
      <c r="L170" s="34"/>
      <c r="M170" s="34"/>
      <c r="N170" s="34"/>
      <c r="O170" s="34"/>
      <c r="P170" s="34"/>
      <c r="Q170" s="34"/>
      <c r="R170" s="34"/>
      <c r="S170" s="12"/>
      <c r="T170" s="10"/>
      <c r="U170" s="10"/>
      <c r="V170" s="10"/>
      <c r="W170" s="23"/>
      <c r="X170" s="10"/>
      <c r="Y170" s="10"/>
      <c r="Z170" s="10"/>
      <c r="AA170" s="10"/>
      <c r="AB170" s="10"/>
      <c r="AC170" s="10"/>
    </row>
    <row r="171" s="2" customFormat="1" spans="1:29">
      <c r="A171" s="10"/>
      <c r="B171" s="23"/>
      <c r="C171" s="28"/>
      <c r="D171" s="29"/>
      <c r="E171" s="37"/>
      <c r="F171" s="23"/>
      <c r="G171" s="23"/>
      <c r="H171" s="31"/>
      <c r="I171" s="34"/>
      <c r="J171" s="34"/>
      <c r="K171" s="34"/>
      <c r="L171" s="34"/>
      <c r="M171" s="34"/>
      <c r="N171" s="34"/>
      <c r="O171" s="34"/>
      <c r="P171" s="34"/>
      <c r="Q171" s="34"/>
      <c r="R171" s="34"/>
      <c r="S171" s="12"/>
      <c r="T171" s="10"/>
      <c r="U171" s="10"/>
      <c r="V171" s="10"/>
      <c r="W171" s="23"/>
      <c r="X171" s="10"/>
      <c r="Y171" s="10"/>
      <c r="Z171" s="10"/>
      <c r="AA171" s="10"/>
      <c r="AB171" s="10"/>
      <c r="AC171" s="10"/>
    </row>
    <row r="172" s="2" customFormat="1" spans="1:29">
      <c r="A172" s="10"/>
      <c r="B172" s="23"/>
      <c r="C172" s="28"/>
      <c r="D172" s="29"/>
      <c r="E172" s="37"/>
      <c r="F172" s="23"/>
      <c r="G172" s="23"/>
      <c r="H172" s="31"/>
      <c r="I172" s="34"/>
      <c r="J172" s="34"/>
      <c r="K172" s="34"/>
      <c r="L172" s="34"/>
      <c r="M172" s="34"/>
      <c r="N172" s="34"/>
      <c r="O172" s="34"/>
      <c r="P172" s="34"/>
      <c r="Q172" s="34"/>
      <c r="R172" s="34"/>
      <c r="S172" s="12"/>
      <c r="T172" s="10"/>
      <c r="U172" s="10"/>
      <c r="V172" s="10"/>
      <c r="W172" s="23"/>
      <c r="X172" s="10"/>
      <c r="Y172" s="10"/>
      <c r="Z172" s="10"/>
      <c r="AA172" s="10"/>
      <c r="AB172" s="10"/>
      <c r="AC172" s="10"/>
    </row>
    <row r="173" s="2" customFormat="1" spans="1:29">
      <c r="A173" s="10"/>
      <c r="B173" s="23"/>
      <c r="C173" s="28"/>
      <c r="D173" s="29"/>
      <c r="E173" s="35"/>
      <c r="F173" s="23"/>
      <c r="G173" s="23"/>
      <c r="H173" s="36"/>
      <c r="I173" s="34"/>
      <c r="J173" s="34"/>
      <c r="K173" s="34"/>
      <c r="L173" s="34"/>
      <c r="M173" s="34"/>
      <c r="N173" s="34"/>
      <c r="O173" s="34"/>
      <c r="P173" s="34"/>
      <c r="Q173" s="34"/>
      <c r="R173" s="34"/>
      <c r="S173" s="12"/>
      <c r="T173" s="10"/>
      <c r="U173" s="10"/>
      <c r="V173" s="10"/>
      <c r="W173" s="23"/>
      <c r="X173" s="10"/>
      <c r="Y173" s="10"/>
      <c r="Z173" s="10"/>
      <c r="AA173" s="10"/>
      <c r="AB173" s="10"/>
      <c r="AC173" s="10"/>
    </row>
    <row r="174" s="2" customFormat="1" spans="1:29">
      <c r="A174" s="10"/>
      <c r="B174" s="23"/>
      <c r="C174" s="28"/>
      <c r="D174" s="29"/>
      <c r="E174" s="35"/>
      <c r="F174" s="23"/>
      <c r="G174" s="23"/>
      <c r="H174" s="36"/>
      <c r="I174" s="34"/>
      <c r="J174" s="34"/>
      <c r="K174" s="34"/>
      <c r="L174" s="34"/>
      <c r="M174" s="34"/>
      <c r="N174" s="34"/>
      <c r="O174" s="34"/>
      <c r="P174" s="34"/>
      <c r="Q174" s="34"/>
      <c r="R174" s="34"/>
      <c r="S174" s="12"/>
      <c r="T174" s="10"/>
      <c r="U174" s="10"/>
      <c r="V174" s="10"/>
      <c r="W174" s="23"/>
      <c r="X174" s="10"/>
      <c r="Y174" s="10"/>
      <c r="Z174" s="10"/>
      <c r="AA174" s="10"/>
      <c r="AB174" s="10"/>
      <c r="AC174" s="10"/>
    </row>
    <row r="175" s="2" customFormat="1" spans="1:29">
      <c r="A175" s="10"/>
      <c r="B175" s="23"/>
      <c r="C175" s="28"/>
      <c r="D175" s="29"/>
      <c r="E175" s="35"/>
      <c r="F175" s="23"/>
      <c r="G175" s="23"/>
      <c r="H175" s="36"/>
      <c r="I175" s="34"/>
      <c r="J175" s="34"/>
      <c r="K175" s="34"/>
      <c r="L175" s="34"/>
      <c r="M175" s="34"/>
      <c r="N175" s="34"/>
      <c r="O175" s="34"/>
      <c r="P175" s="34"/>
      <c r="Q175" s="34"/>
      <c r="R175" s="34"/>
      <c r="S175" s="35"/>
      <c r="T175" s="10"/>
      <c r="U175" s="10"/>
      <c r="V175" s="10"/>
      <c r="W175" s="23"/>
      <c r="X175" s="10"/>
      <c r="Y175" s="10"/>
      <c r="Z175" s="10"/>
      <c r="AA175" s="10"/>
      <c r="AB175" s="10"/>
      <c r="AC175" s="10"/>
    </row>
    <row r="176" s="2" customFormat="1" spans="1:29">
      <c r="A176" s="10"/>
      <c r="B176" s="23"/>
      <c r="C176" s="28"/>
      <c r="D176" s="29"/>
      <c r="E176" s="35"/>
      <c r="F176" s="23"/>
      <c r="G176" s="23"/>
      <c r="H176" s="36"/>
      <c r="I176" s="34"/>
      <c r="J176" s="34"/>
      <c r="K176" s="34"/>
      <c r="L176" s="34"/>
      <c r="M176" s="34"/>
      <c r="N176" s="34"/>
      <c r="O176" s="34"/>
      <c r="P176" s="34"/>
      <c r="Q176" s="34"/>
      <c r="R176" s="34"/>
      <c r="S176" s="35"/>
      <c r="T176" s="10"/>
      <c r="U176" s="10"/>
      <c r="V176" s="10"/>
      <c r="W176" s="23"/>
      <c r="X176" s="10"/>
      <c r="Y176" s="10"/>
      <c r="Z176" s="10"/>
      <c r="AA176" s="10"/>
      <c r="AB176" s="10"/>
      <c r="AC176" s="10"/>
    </row>
    <row r="177" s="2" customFormat="1" spans="1:29">
      <c r="A177" s="10"/>
      <c r="B177" s="23"/>
      <c r="C177" s="28"/>
      <c r="D177" s="29"/>
      <c r="E177" s="35"/>
      <c r="F177" s="23"/>
      <c r="G177" s="23"/>
      <c r="H177" s="36"/>
      <c r="I177" s="34"/>
      <c r="J177" s="34"/>
      <c r="K177" s="34"/>
      <c r="L177" s="34"/>
      <c r="M177" s="34"/>
      <c r="N177" s="34"/>
      <c r="O177" s="34"/>
      <c r="P177" s="34"/>
      <c r="Q177" s="34"/>
      <c r="R177" s="34"/>
      <c r="S177" s="35"/>
      <c r="T177" s="10"/>
      <c r="U177" s="10"/>
      <c r="V177" s="10"/>
      <c r="W177" s="23"/>
      <c r="X177" s="10"/>
      <c r="Y177" s="10"/>
      <c r="Z177" s="10"/>
      <c r="AA177" s="10"/>
      <c r="AB177" s="10"/>
      <c r="AC177" s="10"/>
    </row>
    <row r="178" s="2" customFormat="1" spans="1:29">
      <c r="A178" s="10"/>
      <c r="B178" s="23"/>
      <c r="C178" s="28"/>
      <c r="D178" s="29"/>
      <c r="E178" s="35"/>
      <c r="F178" s="23"/>
      <c r="G178" s="23"/>
      <c r="H178" s="36"/>
      <c r="I178" s="34"/>
      <c r="J178" s="34"/>
      <c r="K178" s="34"/>
      <c r="L178" s="34"/>
      <c r="M178" s="34"/>
      <c r="N178" s="34"/>
      <c r="O178" s="34"/>
      <c r="P178" s="34"/>
      <c r="Q178" s="34"/>
      <c r="R178" s="34"/>
      <c r="S178" s="35"/>
      <c r="T178" s="10"/>
      <c r="U178" s="10"/>
      <c r="V178" s="10"/>
      <c r="W178" s="23"/>
      <c r="X178" s="10"/>
      <c r="Y178" s="10"/>
      <c r="Z178" s="10"/>
      <c r="AA178" s="10"/>
      <c r="AB178" s="10"/>
      <c r="AC178" s="10"/>
    </row>
    <row r="179" s="2" customFormat="1" spans="1:29">
      <c r="A179" s="10"/>
      <c r="B179" s="23"/>
      <c r="C179" s="28"/>
      <c r="D179" s="29"/>
      <c r="E179" s="35"/>
      <c r="F179" s="23"/>
      <c r="G179" s="23"/>
      <c r="H179" s="36"/>
      <c r="I179" s="34"/>
      <c r="J179" s="34"/>
      <c r="K179" s="34"/>
      <c r="L179" s="34"/>
      <c r="M179" s="34"/>
      <c r="N179" s="34"/>
      <c r="O179" s="34"/>
      <c r="P179" s="34"/>
      <c r="Q179" s="34"/>
      <c r="R179" s="34"/>
      <c r="S179" s="35"/>
      <c r="T179" s="10"/>
      <c r="U179" s="10"/>
      <c r="V179" s="10"/>
      <c r="W179" s="23"/>
      <c r="X179" s="10"/>
      <c r="Y179" s="10"/>
      <c r="Z179" s="10"/>
      <c r="AA179" s="10"/>
      <c r="AB179" s="10"/>
      <c r="AC179" s="10"/>
    </row>
    <row r="180" s="2" customFormat="1" spans="1:29">
      <c r="A180" s="10"/>
      <c r="B180" s="23"/>
      <c r="C180" s="28"/>
      <c r="D180" s="29"/>
      <c r="E180" s="35"/>
      <c r="F180" s="23"/>
      <c r="G180" s="23"/>
      <c r="H180" s="36"/>
      <c r="I180" s="34"/>
      <c r="J180" s="34"/>
      <c r="K180" s="34"/>
      <c r="L180" s="34"/>
      <c r="M180" s="34"/>
      <c r="N180" s="34"/>
      <c r="O180" s="34"/>
      <c r="P180" s="34"/>
      <c r="Q180" s="34"/>
      <c r="R180" s="34"/>
      <c r="S180" s="35"/>
      <c r="T180" s="10"/>
      <c r="U180" s="10"/>
      <c r="V180" s="10"/>
      <c r="W180" s="23"/>
      <c r="X180" s="10"/>
      <c r="Y180" s="10"/>
      <c r="Z180" s="10"/>
      <c r="AA180" s="10"/>
      <c r="AB180" s="10"/>
      <c r="AC180" s="10"/>
    </row>
    <row r="181" s="2" customFormat="1" spans="1:29">
      <c r="A181" s="10"/>
      <c r="B181" s="23"/>
      <c r="C181" s="28"/>
      <c r="D181" s="29"/>
      <c r="E181" s="35"/>
      <c r="F181" s="23"/>
      <c r="G181" s="23"/>
      <c r="H181" s="36"/>
      <c r="I181" s="34"/>
      <c r="J181" s="34"/>
      <c r="K181" s="34"/>
      <c r="L181" s="34"/>
      <c r="M181" s="34"/>
      <c r="N181" s="34"/>
      <c r="O181" s="34"/>
      <c r="P181" s="34"/>
      <c r="Q181" s="34"/>
      <c r="R181" s="34"/>
      <c r="S181" s="35"/>
      <c r="T181" s="10"/>
      <c r="U181" s="10"/>
      <c r="V181" s="10"/>
      <c r="W181" s="23"/>
      <c r="X181" s="10"/>
      <c r="Y181" s="10"/>
      <c r="Z181" s="10"/>
      <c r="AA181" s="10"/>
      <c r="AB181" s="10"/>
      <c r="AC181" s="10"/>
    </row>
    <row r="182" s="2" customFormat="1" spans="1:29">
      <c r="A182" s="10"/>
      <c r="B182" s="23"/>
      <c r="C182" s="28"/>
      <c r="D182" s="29"/>
      <c r="E182" s="35"/>
      <c r="F182" s="23"/>
      <c r="G182" s="23"/>
      <c r="H182" s="36"/>
      <c r="I182" s="34"/>
      <c r="J182" s="34"/>
      <c r="K182" s="34"/>
      <c r="L182" s="34"/>
      <c r="M182" s="34"/>
      <c r="N182" s="34"/>
      <c r="O182" s="34"/>
      <c r="P182" s="34"/>
      <c r="Q182" s="34"/>
      <c r="R182" s="34"/>
      <c r="S182" s="35"/>
      <c r="T182" s="10"/>
      <c r="U182" s="10"/>
      <c r="V182" s="10"/>
      <c r="W182" s="23"/>
      <c r="X182" s="10"/>
      <c r="Y182" s="10"/>
      <c r="Z182" s="10"/>
      <c r="AA182" s="10"/>
      <c r="AB182" s="10"/>
      <c r="AC182" s="10"/>
    </row>
    <row r="183" s="2" customFormat="1" spans="1:29">
      <c r="A183" s="10"/>
      <c r="B183" s="23"/>
      <c r="C183" s="28"/>
      <c r="D183" s="29"/>
      <c r="E183" s="35"/>
      <c r="F183" s="23"/>
      <c r="G183" s="23"/>
      <c r="H183" s="36"/>
      <c r="I183" s="34"/>
      <c r="J183" s="34"/>
      <c r="K183" s="34"/>
      <c r="L183" s="34"/>
      <c r="M183" s="34"/>
      <c r="N183" s="34"/>
      <c r="O183" s="34"/>
      <c r="P183" s="34"/>
      <c r="Q183" s="34"/>
      <c r="R183" s="34"/>
      <c r="S183" s="35"/>
      <c r="T183" s="10"/>
      <c r="U183" s="10"/>
      <c r="V183" s="10"/>
      <c r="W183" s="23"/>
      <c r="X183" s="10"/>
      <c r="Y183" s="10"/>
      <c r="Z183" s="10"/>
      <c r="AA183" s="10"/>
      <c r="AB183" s="10"/>
      <c r="AC183" s="10"/>
    </row>
    <row r="184" s="2" customFormat="1" spans="1:29">
      <c r="A184" s="10"/>
      <c r="B184" s="23"/>
      <c r="C184" s="28"/>
      <c r="D184" s="29"/>
      <c r="E184" s="37"/>
      <c r="F184" s="23"/>
      <c r="G184" s="23"/>
      <c r="H184" s="31"/>
      <c r="I184" s="34"/>
      <c r="J184" s="34"/>
      <c r="K184" s="34"/>
      <c r="L184" s="34"/>
      <c r="M184" s="34"/>
      <c r="N184" s="34"/>
      <c r="O184" s="34"/>
      <c r="P184" s="34"/>
      <c r="Q184" s="34"/>
      <c r="R184" s="34"/>
      <c r="S184" s="12"/>
      <c r="T184" s="10"/>
      <c r="U184" s="10"/>
      <c r="V184" s="10"/>
      <c r="W184" s="23"/>
      <c r="X184" s="10"/>
      <c r="Y184" s="10"/>
      <c r="Z184" s="10"/>
      <c r="AA184" s="10"/>
      <c r="AB184" s="10"/>
      <c r="AC184" s="10"/>
    </row>
    <row r="185" s="2" customFormat="1" spans="1:29">
      <c r="A185" s="10"/>
      <c r="B185" s="23"/>
      <c r="C185" s="28"/>
      <c r="D185" s="29"/>
      <c r="E185" s="37"/>
      <c r="F185" s="23"/>
      <c r="G185" s="23"/>
      <c r="H185" s="31"/>
      <c r="I185" s="34"/>
      <c r="J185" s="34"/>
      <c r="K185" s="34"/>
      <c r="L185" s="34"/>
      <c r="M185" s="34"/>
      <c r="N185" s="34"/>
      <c r="O185" s="34"/>
      <c r="P185" s="34"/>
      <c r="Q185" s="34"/>
      <c r="R185" s="34"/>
      <c r="S185" s="12"/>
      <c r="T185" s="10"/>
      <c r="U185" s="10"/>
      <c r="V185" s="10"/>
      <c r="W185" s="23"/>
      <c r="X185" s="10"/>
      <c r="Y185" s="10"/>
      <c r="Z185" s="10"/>
      <c r="AA185" s="10"/>
      <c r="AB185" s="10"/>
      <c r="AC185" s="10"/>
    </row>
    <row r="186" s="2" customFormat="1" spans="1:29">
      <c r="A186" s="10"/>
      <c r="B186" s="23"/>
      <c r="C186" s="28"/>
      <c r="D186" s="29"/>
      <c r="E186" s="35"/>
      <c r="F186" s="23"/>
      <c r="G186" s="23"/>
      <c r="H186" s="36"/>
      <c r="I186" s="34"/>
      <c r="J186" s="34"/>
      <c r="K186" s="34"/>
      <c r="L186" s="34"/>
      <c r="M186" s="34"/>
      <c r="N186" s="34"/>
      <c r="O186" s="34"/>
      <c r="P186" s="34"/>
      <c r="Q186" s="34"/>
      <c r="R186" s="34"/>
      <c r="S186" s="35"/>
      <c r="T186" s="10"/>
      <c r="U186" s="10"/>
      <c r="V186" s="10"/>
      <c r="W186" s="23"/>
      <c r="X186" s="10"/>
      <c r="Y186" s="10"/>
      <c r="Z186" s="10"/>
      <c r="AA186" s="10"/>
      <c r="AB186" s="10"/>
      <c r="AC186" s="10"/>
    </row>
    <row r="187" s="2" customFormat="1" spans="1:29">
      <c r="A187" s="10"/>
      <c r="B187" s="23"/>
      <c r="C187" s="28"/>
      <c r="D187" s="29"/>
      <c r="E187" s="33"/>
      <c r="F187" s="23"/>
      <c r="G187" s="23"/>
      <c r="H187" s="32"/>
      <c r="I187" s="34"/>
      <c r="J187" s="34"/>
      <c r="K187" s="34"/>
      <c r="L187" s="34"/>
      <c r="M187" s="34"/>
      <c r="N187" s="34"/>
      <c r="O187" s="34"/>
      <c r="P187" s="34"/>
      <c r="Q187" s="34"/>
      <c r="R187" s="34"/>
      <c r="S187" s="35"/>
      <c r="T187" s="10"/>
      <c r="U187" s="10"/>
      <c r="V187" s="10"/>
      <c r="W187" s="23"/>
      <c r="X187" s="10"/>
      <c r="Y187" s="10"/>
      <c r="Z187" s="10"/>
      <c r="AA187" s="10"/>
      <c r="AB187" s="10"/>
      <c r="AC187" s="10"/>
    </row>
    <row r="188" s="2" customFormat="1" spans="1:29">
      <c r="A188" s="10"/>
      <c r="B188" s="23"/>
      <c r="C188" s="28"/>
      <c r="D188" s="29"/>
      <c r="E188" s="33"/>
      <c r="F188" s="23"/>
      <c r="G188" s="23"/>
      <c r="H188" s="32"/>
      <c r="I188" s="34"/>
      <c r="J188" s="34"/>
      <c r="K188" s="34"/>
      <c r="L188" s="34"/>
      <c r="M188" s="34"/>
      <c r="N188" s="34"/>
      <c r="O188" s="34"/>
      <c r="P188" s="34"/>
      <c r="Q188" s="34"/>
      <c r="R188" s="34"/>
      <c r="S188" s="35"/>
      <c r="T188" s="10"/>
      <c r="U188" s="10"/>
      <c r="V188" s="10"/>
      <c r="W188" s="23"/>
      <c r="X188" s="10"/>
      <c r="Y188" s="10"/>
      <c r="Z188" s="10"/>
      <c r="AA188" s="10"/>
      <c r="AB188" s="10"/>
      <c r="AC188" s="10"/>
    </row>
    <row r="189" s="2" customFormat="1" spans="1:29">
      <c r="A189" s="10"/>
      <c r="B189" s="23"/>
      <c r="C189" s="28"/>
      <c r="D189" s="29"/>
      <c r="E189" s="33"/>
      <c r="F189" s="23"/>
      <c r="G189" s="23"/>
      <c r="H189" s="32"/>
      <c r="I189" s="34"/>
      <c r="J189" s="34"/>
      <c r="K189" s="34"/>
      <c r="L189" s="34"/>
      <c r="M189" s="34"/>
      <c r="N189" s="34"/>
      <c r="O189" s="34"/>
      <c r="P189" s="34"/>
      <c r="Q189" s="34"/>
      <c r="R189" s="34"/>
      <c r="S189" s="35"/>
      <c r="T189" s="10"/>
      <c r="U189" s="10"/>
      <c r="V189" s="10"/>
      <c r="W189" s="23"/>
      <c r="X189" s="10"/>
      <c r="Y189" s="10"/>
      <c r="Z189" s="10"/>
      <c r="AA189" s="10"/>
      <c r="AB189" s="10"/>
      <c r="AC189" s="10"/>
    </row>
    <row r="190" s="2" customFormat="1" spans="1:29">
      <c r="A190" s="10"/>
      <c r="B190" s="23"/>
      <c r="C190" s="28"/>
      <c r="D190" s="29"/>
      <c r="E190" s="33"/>
      <c r="F190" s="23"/>
      <c r="G190" s="23"/>
      <c r="H190" s="32"/>
      <c r="I190" s="34"/>
      <c r="J190" s="34"/>
      <c r="K190" s="34"/>
      <c r="L190" s="34"/>
      <c r="M190" s="34"/>
      <c r="N190" s="34"/>
      <c r="O190" s="34"/>
      <c r="P190" s="34"/>
      <c r="Q190" s="34"/>
      <c r="R190" s="34"/>
      <c r="S190" s="35"/>
      <c r="T190" s="10"/>
      <c r="U190" s="10"/>
      <c r="V190" s="10"/>
      <c r="W190" s="23"/>
      <c r="X190" s="10"/>
      <c r="Y190" s="10"/>
      <c r="Z190" s="10"/>
      <c r="AA190" s="10"/>
      <c r="AB190" s="10"/>
      <c r="AC190" s="10"/>
    </row>
    <row r="191" s="2" customFormat="1" spans="1:29">
      <c r="A191" s="10"/>
      <c r="B191" s="23"/>
      <c r="C191" s="28"/>
      <c r="D191" s="29"/>
      <c r="E191" s="33"/>
      <c r="F191" s="23"/>
      <c r="G191" s="23"/>
      <c r="H191" s="32"/>
      <c r="I191" s="34"/>
      <c r="J191" s="34"/>
      <c r="K191" s="34"/>
      <c r="L191" s="34"/>
      <c r="M191" s="34"/>
      <c r="N191" s="34"/>
      <c r="O191" s="34"/>
      <c r="P191" s="34"/>
      <c r="Q191" s="34"/>
      <c r="R191" s="34"/>
      <c r="S191" s="35"/>
      <c r="T191" s="10"/>
      <c r="U191" s="10"/>
      <c r="V191" s="10"/>
      <c r="W191" s="23"/>
      <c r="X191" s="10"/>
      <c r="Y191" s="10"/>
      <c r="Z191" s="10"/>
      <c r="AA191" s="10"/>
      <c r="AB191" s="10"/>
      <c r="AC191" s="10"/>
    </row>
    <row r="192" s="2" customFormat="1" spans="1:29">
      <c r="A192" s="10"/>
      <c r="B192" s="23"/>
      <c r="C192" s="28"/>
      <c r="D192" s="29"/>
      <c r="E192" s="33"/>
      <c r="F192" s="23"/>
      <c r="G192" s="23"/>
      <c r="H192" s="32"/>
      <c r="I192" s="34"/>
      <c r="J192" s="34"/>
      <c r="K192" s="34"/>
      <c r="L192" s="34"/>
      <c r="M192" s="34"/>
      <c r="N192" s="34"/>
      <c r="O192" s="34"/>
      <c r="P192" s="34"/>
      <c r="Q192" s="34"/>
      <c r="R192" s="34"/>
      <c r="S192" s="35"/>
      <c r="T192" s="10"/>
      <c r="U192" s="10"/>
      <c r="V192" s="10"/>
      <c r="W192" s="23"/>
      <c r="X192" s="10"/>
      <c r="Y192" s="10"/>
      <c r="Z192" s="10"/>
      <c r="AA192" s="10"/>
      <c r="AB192" s="10"/>
      <c r="AC192" s="10"/>
    </row>
    <row r="193" s="2" customFormat="1" spans="1:29">
      <c r="A193" s="10"/>
      <c r="B193" s="23"/>
      <c r="C193" s="28"/>
      <c r="D193" s="29"/>
      <c r="E193" s="33"/>
      <c r="F193" s="23"/>
      <c r="G193" s="23"/>
      <c r="H193" s="32"/>
      <c r="I193" s="34"/>
      <c r="J193" s="34"/>
      <c r="K193" s="34"/>
      <c r="L193" s="34"/>
      <c r="M193" s="34"/>
      <c r="N193" s="34"/>
      <c r="O193" s="34"/>
      <c r="P193" s="34"/>
      <c r="Q193" s="34"/>
      <c r="R193" s="34"/>
      <c r="S193" s="12"/>
      <c r="T193" s="10"/>
      <c r="U193" s="10"/>
      <c r="V193" s="10"/>
      <c r="W193" s="23"/>
      <c r="X193" s="10"/>
      <c r="Y193" s="10"/>
      <c r="Z193" s="10"/>
      <c r="AA193" s="10"/>
      <c r="AB193" s="10"/>
      <c r="AC193" s="10"/>
    </row>
    <row r="194" s="2" customFormat="1" spans="1:29">
      <c r="A194" s="10"/>
      <c r="B194" s="23"/>
      <c r="C194" s="28"/>
      <c r="D194" s="29"/>
      <c r="E194" s="33"/>
      <c r="F194" s="23"/>
      <c r="G194" s="23"/>
      <c r="H194" s="32"/>
      <c r="I194" s="34"/>
      <c r="J194" s="34"/>
      <c r="K194" s="34"/>
      <c r="L194" s="34"/>
      <c r="M194" s="34"/>
      <c r="N194" s="34"/>
      <c r="O194" s="34"/>
      <c r="P194" s="34"/>
      <c r="Q194" s="34"/>
      <c r="R194" s="34"/>
      <c r="S194" s="35"/>
      <c r="T194" s="10"/>
      <c r="U194" s="10"/>
      <c r="V194" s="10"/>
      <c r="W194" s="23"/>
      <c r="X194" s="10"/>
      <c r="Y194" s="10"/>
      <c r="Z194" s="10"/>
      <c r="AA194" s="10"/>
      <c r="AB194" s="10"/>
      <c r="AC194" s="10"/>
    </row>
    <row r="195" s="2" customFormat="1" spans="1:29">
      <c r="A195" s="10"/>
      <c r="B195" s="23"/>
      <c r="C195" s="28"/>
      <c r="D195" s="29"/>
      <c r="E195" s="33"/>
      <c r="F195" s="29"/>
      <c r="G195" s="23"/>
      <c r="H195" s="32"/>
      <c r="I195" s="34"/>
      <c r="J195" s="34"/>
      <c r="K195" s="34"/>
      <c r="L195" s="34"/>
      <c r="M195" s="34"/>
      <c r="N195" s="34"/>
      <c r="O195" s="34"/>
      <c r="P195" s="34"/>
      <c r="Q195" s="34"/>
      <c r="R195" s="34"/>
      <c r="S195" s="35"/>
      <c r="T195" s="10"/>
      <c r="U195" s="10"/>
      <c r="V195" s="10"/>
      <c r="W195" s="23"/>
      <c r="X195" s="10"/>
      <c r="Y195" s="10"/>
      <c r="Z195" s="10"/>
      <c r="AA195" s="10"/>
      <c r="AB195" s="10"/>
      <c r="AC195" s="10"/>
    </row>
    <row r="196" s="2" customFormat="1" spans="1:29">
      <c r="A196" s="10"/>
      <c r="B196" s="23"/>
      <c r="C196" s="28"/>
      <c r="D196" s="29"/>
      <c r="E196" s="33"/>
      <c r="F196" s="29"/>
      <c r="G196" s="23"/>
      <c r="H196" s="32"/>
      <c r="I196" s="34"/>
      <c r="J196" s="34"/>
      <c r="K196" s="34"/>
      <c r="L196" s="34"/>
      <c r="M196" s="34"/>
      <c r="N196" s="34"/>
      <c r="O196" s="34"/>
      <c r="P196" s="34"/>
      <c r="Q196" s="34"/>
      <c r="R196" s="34"/>
      <c r="S196" s="12"/>
      <c r="T196" s="10"/>
      <c r="U196" s="10"/>
      <c r="V196" s="10"/>
      <c r="W196" s="23"/>
      <c r="X196" s="10"/>
      <c r="Y196" s="10"/>
      <c r="Z196" s="10"/>
      <c r="AA196" s="10"/>
      <c r="AB196" s="10"/>
      <c r="AC196" s="10"/>
    </row>
    <row r="197" s="2" customFormat="1" spans="1:29">
      <c r="A197" s="10"/>
      <c r="B197" s="23"/>
      <c r="C197" s="28"/>
      <c r="D197" s="29"/>
      <c r="E197" s="35"/>
      <c r="F197" s="23"/>
      <c r="G197" s="23"/>
      <c r="H197" s="36"/>
      <c r="I197" s="34"/>
      <c r="J197" s="34"/>
      <c r="K197" s="34"/>
      <c r="L197" s="34"/>
      <c r="M197" s="34"/>
      <c r="N197" s="34"/>
      <c r="O197" s="34"/>
      <c r="P197" s="34"/>
      <c r="Q197" s="34"/>
      <c r="R197" s="34"/>
      <c r="S197" s="35"/>
      <c r="T197" s="10"/>
      <c r="U197" s="10"/>
      <c r="V197" s="10"/>
      <c r="W197" s="23"/>
      <c r="X197" s="10"/>
      <c r="Y197" s="10"/>
      <c r="Z197" s="10"/>
      <c r="AA197" s="10"/>
      <c r="AB197" s="10"/>
      <c r="AC197" s="10"/>
    </row>
    <row r="198" s="2" customFormat="1" spans="1:29">
      <c r="A198" s="10"/>
      <c r="B198" s="23"/>
      <c r="C198" s="28"/>
      <c r="D198" s="29"/>
      <c r="E198" s="35"/>
      <c r="F198" s="23"/>
      <c r="G198" s="23"/>
      <c r="H198" s="36"/>
      <c r="I198" s="34"/>
      <c r="J198" s="34"/>
      <c r="K198" s="34"/>
      <c r="L198" s="34"/>
      <c r="M198" s="34"/>
      <c r="N198" s="34"/>
      <c r="O198" s="34"/>
      <c r="P198" s="34"/>
      <c r="Q198" s="34"/>
      <c r="R198" s="34"/>
      <c r="S198" s="35"/>
      <c r="T198" s="10"/>
      <c r="U198" s="10"/>
      <c r="V198" s="10"/>
      <c r="W198" s="23"/>
      <c r="X198" s="10"/>
      <c r="Y198" s="10"/>
      <c r="Z198" s="10"/>
      <c r="AA198" s="10"/>
      <c r="AB198" s="10"/>
      <c r="AC198" s="10"/>
    </row>
    <row r="199" s="2" customFormat="1" spans="1:29">
      <c r="A199" s="10"/>
      <c r="B199" s="23"/>
      <c r="C199" s="28"/>
      <c r="D199" s="29"/>
      <c r="E199" s="37"/>
      <c r="F199" s="10"/>
      <c r="G199" s="23"/>
      <c r="H199" s="31"/>
      <c r="I199" s="34"/>
      <c r="J199" s="34"/>
      <c r="K199" s="34"/>
      <c r="L199" s="34"/>
      <c r="M199" s="34"/>
      <c r="N199" s="34"/>
      <c r="O199" s="34"/>
      <c r="P199" s="34"/>
      <c r="Q199" s="34"/>
      <c r="R199" s="34"/>
      <c r="S199" s="12"/>
      <c r="T199" s="10"/>
      <c r="U199" s="10"/>
      <c r="V199" s="10"/>
      <c r="W199" s="23"/>
      <c r="X199" s="10"/>
      <c r="Y199" s="10"/>
      <c r="Z199" s="10"/>
      <c r="AA199" s="10"/>
      <c r="AB199" s="10"/>
      <c r="AC199" s="10"/>
    </row>
    <row r="200" s="2" customFormat="1" spans="1:29">
      <c r="A200" s="10"/>
      <c r="B200" s="23"/>
      <c r="C200" s="28"/>
      <c r="D200" s="29"/>
      <c r="E200" s="37"/>
      <c r="F200" s="10"/>
      <c r="G200" s="23"/>
      <c r="H200" s="31"/>
      <c r="I200" s="34"/>
      <c r="J200" s="34"/>
      <c r="K200" s="34"/>
      <c r="L200" s="34"/>
      <c r="M200" s="34"/>
      <c r="N200" s="34"/>
      <c r="O200" s="34"/>
      <c r="P200" s="34"/>
      <c r="Q200" s="34"/>
      <c r="R200" s="34"/>
      <c r="S200" s="35"/>
      <c r="T200" s="10"/>
      <c r="U200" s="10"/>
      <c r="V200" s="10"/>
      <c r="W200" s="23"/>
      <c r="X200" s="10"/>
      <c r="Y200" s="10"/>
      <c r="Z200" s="10"/>
      <c r="AA200" s="10"/>
      <c r="AB200" s="10"/>
      <c r="AC200" s="10"/>
    </row>
    <row r="201" s="2" customFormat="1" spans="1:29">
      <c r="A201" s="10"/>
      <c r="B201" s="23"/>
      <c r="C201" s="28"/>
      <c r="D201" s="29"/>
      <c r="E201" s="37"/>
      <c r="F201" s="10"/>
      <c r="G201" s="23"/>
      <c r="H201" s="31"/>
      <c r="I201" s="34"/>
      <c r="J201" s="34"/>
      <c r="K201" s="34"/>
      <c r="L201" s="34"/>
      <c r="M201" s="34"/>
      <c r="N201" s="34"/>
      <c r="O201" s="34"/>
      <c r="P201" s="34"/>
      <c r="Q201" s="34"/>
      <c r="R201" s="34"/>
      <c r="S201" s="12"/>
      <c r="T201" s="10"/>
      <c r="U201" s="10"/>
      <c r="V201" s="10"/>
      <c r="W201" s="23"/>
      <c r="X201" s="10"/>
      <c r="Y201" s="10"/>
      <c r="Z201" s="10"/>
      <c r="AA201" s="10"/>
      <c r="AB201" s="10"/>
      <c r="AC201" s="10"/>
    </row>
    <row r="202" s="2" customFormat="1" spans="1:29">
      <c r="A202" s="10"/>
      <c r="B202" s="23"/>
      <c r="C202" s="28"/>
      <c r="D202" s="29"/>
      <c r="E202" s="35"/>
      <c r="F202" s="23"/>
      <c r="G202" s="23"/>
      <c r="H202" s="32"/>
      <c r="I202" s="34"/>
      <c r="J202" s="34"/>
      <c r="K202" s="34"/>
      <c r="L202" s="34"/>
      <c r="M202" s="34"/>
      <c r="N202" s="34"/>
      <c r="O202" s="34"/>
      <c r="P202" s="34"/>
      <c r="Q202" s="34"/>
      <c r="R202" s="34"/>
      <c r="S202" s="12"/>
      <c r="T202" s="10"/>
      <c r="U202" s="10"/>
      <c r="V202" s="10"/>
      <c r="W202" s="23"/>
      <c r="X202" s="10"/>
      <c r="Y202" s="10"/>
      <c r="Z202" s="10"/>
      <c r="AA202" s="10"/>
      <c r="AB202" s="10"/>
      <c r="AC202" s="10"/>
    </row>
    <row r="203" s="2" customFormat="1" spans="1:29">
      <c r="A203" s="10"/>
      <c r="B203" s="23"/>
      <c r="C203" s="28"/>
      <c r="D203" s="29"/>
      <c r="E203" s="35"/>
      <c r="F203" s="23"/>
      <c r="G203" s="23"/>
      <c r="H203" s="32"/>
      <c r="I203" s="34"/>
      <c r="J203" s="34"/>
      <c r="K203" s="34"/>
      <c r="L203" s="34"/>
      <c r="M203" s="34"/>
      <c r="N203" s="34"/>
      <c r="O203" s="34"/>
      <c r="P203" s="34"/>
      <c r="Q203" s="34"/>
      <c r="R203" s="34"/>
      <c r="S203" s="12"/>
      <c r="T203" s="10"/>
      <c r="U203" s="10"/>
      <c r="V203" s="10"/>
      <c r="W203" s="23"/>
      <c r="X203" s="10"/>
      <c r="Y203" s="10"/>
      <c r="Z203" s="10"/>
      <c r="AA203" s="10"/>
      <c r="AB203" s="10"/>
      <c r="AC203" s="10"/>
    </row>
    <row r="204" s="2" customFormat="1" spans="1:29">
      <c r="A204" s="10"/>
      <c r="B204" s="23"/>
      <c r="C204" s="28"/>
      <c r="D204" s="29"/>
      <c r="E204" s="35"/>
      <c r="F204" s="23"/>
      <c r="G204" s="23"/>
      <c r="H204" s="32"/>
      <c r="I204" s="34"/>
      <c r="J204" s="34"/>
      <c r="K204" s="34"/>
      <c r="L204" s="34"/>
      <c r="M204" s="34"/>
      <c r="N204" s="34"/>
      <c r="O204" s="34"/>
      <c r="P204" s="34"/>
      <c r="Q204" s="34"/>
      <c r="R204" s="34"/>
      <c r="S204" s="12"/>
      <c r="T204" s="10"/>
      <c r="U204" s="10"/>
      <c r="V204" s="10"/>
      <c r="W204" s="23"/>
      <c r="X204" s="10"/>
      <c r="Y204" s="10"/>
      <c r="Z204" s="10"/>
      <c r="AA204" s="10"/>
      <c r="AB204" s="10"/>
      <c r="AC204" s="10"/>
    </row>
    <row r="205" s="2" customFormat="1" spans="1:29">
      <c r="A205" s="10"/>
      <c r="B205" s="23"/>
      <c r="C205" s="28"/>
      <c r="D205" s="29"/>
      <c r="E205" s="35"/>
      <c r="F205" s="23"/>
      <c r="G205" s="23"/>
      <c r="H205" s="32"/>
      <c r="I205" s="34"/>
      <c r="J205" s="34"/>
      <c r="K205" s="34"/>
      <c r="L205" s="34"/>
      <c r="M205" s="34"/>
      <c r="N205" s="34"/>
      <c r="O205" s="34"/>
      <c r="P205" s="34"/>
      <c r="Q205" s="34"/>
      <c r="R205" s="34"/>
      <c r="S205" s="12"/>
      <c r="T205" s="10"/>
      <c r="U205" s="10"/>
      <c r="V205" s="10"/>
      <c r="W205" s="23"/>
      <c r="X205" s="10"/>
      <c r="Y205" s="10"/>
      <c r="Z205" s="10"/>
      <c r="AA205" s="10"/>
      <c r="AB205" s="10"/>
      <c r="AC205" s="10"/>
    </row>
    <row r="206" s="2" customFormat="1" spans="1:29">
      <c r="A206" s="10"/>
      <c r="B206" s="23"/>
      <c r="C206" s="28"/>
      <c r="D206" s="29"/>
      <c r="E206" s="35"/>
      <c r="F206" s="23"/>
      <c r="G206" s="23"/>
      <c r="H206" s="32"/>
      <c r="I206" s="34"/>
      <c r="J206" s="34"/>
      <c r="K206" s="34"/>
      <c r="L206" s="34"/>
      <c r="M206" s="34"/>
      <c r="N206" s="34"/>
      <c r="O206" s="34"/>
      <c r="P206" s="34"/>
      <c r="Q206" s="34"/>
      <c r="R206" s="34"/>
      <c r="S206" s="12"/>
      <c r="T206" s="10"/>
      <c r="U206" s="10"/>
      <c r="V206" s="10"/>
      <c r="W206" s="23"/>
      <c r="X206" s="10"/>
      <c r="Y206" s="10"/>
      <c r="Z206" s="10"/>
      <c r="AA206" s="10"/>
      <c r="AB206" s="10"/>
      <c r="AC206" s="10"/>
    </row>
    <row r="207" s="2" customFormat="1" spans="1:29">
      <c r="A207" s="10"/>
      <c r="B207" s="23"/>
      <c r="C207" s="28"/>
      <c r="D207" s="29"/>
      <c r="E207" s="35"/>
      <c r="F207" s="23"/>
      <c r="G207" s="23"/>
      <c r="H207" s="32"/>
      <c r="I207" s="34"/>
      <c r="J207" s="34"/>
      <c r="K207" s="34"/>
      <c r="L207" s="34"/>
      <c r="M207" s="34"/>
      <c r="N207" s="34"/>
      <c r="O207" s="34"/>
      <c r="P207" s="34"/>
      <c r="Q207" s="34"/>
      <c r="R207" s="34"/>
      <c r="S207" s="12"/>
      <c r="T207" s="10"/>
      <c r="U207" s="10"/>
      <c r="V207" s="10"/>
      <c r="W207" s="23"/>
      <c r="X207" s="10"/>
      <c r="Y207" s="10"/>
      <c r="Z207" s="10"/>
      <c r="AA207" s="10"/>
      <c r="AB207" s="10"/>
      <c r="AC207" s="10"/>
    </row>
    <row r="208" s="2" customFormat="1" spans="1:29">
      <c r="A208" s="10"/>
      <c r="B208" s="23"/>
      <c r="C208" s="28"/>
      <c r="D208" s="29"/>
      <c r="E208" s="35"/>
      <c r="F208" s="23"/>
      <c r="G208" s="23"/>
      <c r="H208" s="32"/>
      <c r="I208" s="34"/>
      <c r="J208" s="34"/>
      <c r="K208" s="34"/>
      <c r="L208" s="34"/>
      <c r="M208" s="34"/>
      <c r="N208" s="34"/>
      <c r="O208" s="34"/>
      <c r="P208" s="34"/>
      <c r="Q208" s="34"/>
      <c r="R208" s="34"/>
      <c r="S208" s="12"/>
      <c r="T208" s="10"/>
      <c r="U208" s="10"/>
      <c r="V208" s="10"/>
      <c r="W208" s="23"/>
      <c r="X208" s="10"/>
      <c r="Y208" s="10"/>
      <c r="Z208" s="10"/>
      <c r="AA208" s="10"/>
      <c r="AB208" s="10"/>
      <c r="AC208" s="10"/>
    </row>
    <row r="209" s="2" customFormat="1" spans="1:29">
      <c r="A209" s="10"/>
      <c r="B209" s="23"/>
      <c r="C209" s="28"/>
      <c r="D209" s="29"/>
      <c r="E209" s="12"/>
      <c r="F209" s="23"/>
      <c r="G209" s="23"/>
      <c r="H209" s="32"/>
      <c r="I209" s="34"/>
      <c r="J209" s="34"/>
      <c r="K209" s="34"/>
      <c r="L209" s="34"/>
      <c r="M209" s="34"/>
      <c r="N209" s="34"/>
      <c r="O209" s="34"/>
      <c r="P209" s="34"/>
      <c r="Q209" s="34"/>
      <c r="R209" s="34"/>
      <c r="S209" s="12"/>
      <c r="T209" s="10"/>
      <c r="U209" s="10"/>
      <c r="V209" s="10"/>
      <c r="W209" s="23"/>
      <c r="X209" s="10"/>
      <c r="Y209" s="10"/>
      <c r="Z209" s="10"/>
      <c r="AA209" s="10"/>
      <c r="AB209" s="10"/>
      <c r="AC209" s="10"/>
    </row>
    <row r="210" s="2" customFormat="1" spans="1:29">
      <c r="A210" s="10"/>
      <c r="B210" s="23"/>
      <c r="C210" s="28"/>
      <c r="D210" s="29"/>
      <c r="E210" s="12"/>
      <c r="F210" s="23"/>
      <c r="G210" s="23"/>
      <c r="H210" s="32"/>
      <c r="I210" s="34"/>
      <c r="J210" s="34"/>
      <c r="K210" s="34"/>
      <c r="L210" s="34"/>
      <c r="M210" s="34"/>
      <c r="N210" s="34"/>
      <c r="O210" s="34"/>
      <c r="P210" s="34"/>
      <c r="Q210" s="34"/>
      <c r="R210" s="34"/>
      <c r="S210" s="12"/>
      <c r="T210" s="10"/>
      <c r="U210" s="10"/>
      <c r="V210" s="10"/>
      <c r="W210" s="23"/>
      <c r="X210" s="10"/>
      <c r="Y210" s="10"/>
      <c r="Z210" s="10"/>
      <c r="AA210" s="10"/>
      <c r="AB210" s="10"/>
      <c r="AC210" s="10"/>
    </row>
    <row r="211" s="2" customFormat="1" spans="1:29">
      <c r="A211" s="10"/>
      <c r="B211" s="23"/>
      <c r="C211" s="28"/>
      <c r="D211" s="29"/>
      <c r="E211" s="12"/>
      <c r="F211" s="23"/>
      <c r="G211" s="23"/>
      <c r="H211" s="17"/>
      <c r="I211" s="34"/>
      <c r="J211" s="34"/>
      <c r="K211" s="34"/>
      <c r="L211" s="34"/>
      <c r="M211" s="34"/>
      <c r="N211" s="34"/>
      <c r="O211" s="34"/>
      <c r="P211" s="34"/>
      <c r="Q211" s="34"/>
      <c r="R211" s="34"/>
      <c r="S211" s="12"/>
      <c r="T211" s="10"/>
      <c r="U211" s="10"/>
      <c r="V211" s="10"/>
      <c r="W211" s="23"/>
      <c r="X211" s="10"/>
      <c r="Y211" s="10"/>
      <c r="Z211" s="10"/>
      <c r="AA211" s="10"/>
      <c r="AB211" s="10"/>
      <c r="AC211" s="10"/>
    </row>
    <row r="212" s="2" customFormat="1" spans="1:29">
      <c r="A212" s="10"/>
      <c r="B212" s="23"/>
      <c r="C212" s="28"/>
      <c r="D212" s="29"/>
      <c r="E212" s="37"/>
      <c r="F212" s="10"/>
      <c r="G212" s="23"/>
      <c r="H212" s="31"/>
      <c r="I212" s="34"/>
      <c r="J212" s="34"/>
      <c r="K212" s="34"/>
      <c r="L212" s="34"/>
      <c r="M212" s="34"/>
      <c r="N212" s="34"/>
      <c r="O212" s="34"/>
      <c r="P212" s="34"/>
      <c r="Q212" s="34"/>
      <c r="R212" s="34"/>
      <c r="S212" s="12"/>
      <c r="T212" s="10"/>
      <c r="U212" s="10"/>
      <c r="V212" s="10"/>
      <c r="W212" s="23"/>
      <c r="X212" s="10"/>
      <c r="Y212" s="10"/>
      <c r="Z212" s="10"/>
      <c r="AA212" s="10"/>
      <c r="AB212" s="10"/>
      <c r="AC212" s="10"/>
    </row>
    <row r="213" s="2" customFormat="1" spans="1:29">
      <c r="A213" s="10"/>
      <c r="B213" s="23"/>
      <c r="C213" s="28"/>
      <c r="D213" s="29"/>
      <c r="E213" s="37"/>
      <c r="F213" s="10"/>
      <c r="G213" s="23"/>
      <c r="H213" s="31"/>
      <c r="I213" s="34"/>
      <c r="J213" s="34"/>
      <c r="K213" s="34"/>
      <c r="L213" s="34"/>
      <c r="M213" s="34"/>
      <c r="N213" s="34"/>
      <c r="O213" s="34"/>
      <c r="P213" s="34"/>
      <c r="Q213" s="34"/>
      <c r="R213" s="34"/>
      <c r="S213" s="12"/>
      <c r="T213" s="10"/>
      <c r="U213" s="10"/>
      <c r="V213" s="10"/>
      <c r="W213" s="23"/>
      <c r="X213" s="10"/>
      <c r="Y213" s="10"/>
      <c r="Z213" s="10"/>
      <c r="AA213" s="10"/>
      <c r="AB213" s="10"/>
      <c r="AC213" s="10"/>
    </row>
    <row r="214" s="2" customFormat="1" spans="1:29">
      <c r="A214" s="10"/>
      <c r="B214" s="23"/>
      <c r="C214" s="28"/>
      <c r="D214" s="29"/>
      <c r="E214" s="37"/>
      <c r="F214" s="10"/>
      <c r="G214" s="23"/>
      <c r="H214" s="31"/>
      <c r="I214" s="34"/>
      <c r="J214" s="34"/>
      <c r="K214" s="34"/>
      <c r="L214" s="34"/>
      <c r="M214" s="34"/>
      <c r="N214" s="34"/>
      <c r="O214" s="34"/>
      <c r="P214" s="34"/>
      <c r="Q214" s="34"/>
      <c r="R214" s="34"/>
      <c r="S214" s="12"/>
      <c r="T214" s="10"/>
      <c r="U214" s="10"/>
      <c r="V214" s="10"/>
      <c r="W214" s="23"/>
      <c r="X214" s="10"/>
      <c r="Y214" s="10"/>
      <c r="Z214" s="10"/>
      <c r="AA214" s="10"/>
      <c r="AB214" s="10"/>
      <c r="AC214" s="10"/>
    </row>
    <row r="215" s="2" customFormat="1" spans="1:29">
      <c r="A215" s="10"/>
      <c r="B215" s="23"/>
      <c r="C215" s="28"/>
      <c r="D215" s="29"/>
      <c r="E215" s="37"/>
      <c r="F215" s="10"/>
      <c r="G215" s="23"/>
      <c r="H215" s="31"/>
      <c r="I215" s="34"/>
      <c r="J215" s="34"/>
      <c r="K215" s="34"/>
      <c r="L215" s="34"/>
      <c r="M215" s="34"/>
      <c r="N215" s="34"/>
      <c r="O215" s="34"/>
      <c r="P215" s="34"/>
      <c r="Q215" s="34"/>
      <c r="R215" s="34"/>
      <c r="S215" s="12"/>
      <c r="T215" s="10"/>
      <c r="U215" s="10"/>
      <c r="V215" s="10"/>
      <c r="W215" s="23"/>
      <c r="X215" s="10"/>
      <c r="Y215" s="10"/>
      <c r="Z215" s="10"/>
      <c r="AA215" s="10"/>
      <c r="AB215" s="10"/>
      <c r="AC215" s="10"/>
    </row>
    <row r="216" s="2" customFormat="1" spans="1:29">
      <c r="A216" s="10"/>
      <c r="B216" s="23"/>
      <c r="C216" s="28"/>
      <c r="D216" s="29"/>
      <c r="E216" s="37"/>
      <c r="F216" s="10"/>
      <c r="G216" s="23"/>
      <c r="H216" s="31"/>
      <c r="I216" s="34"/>
      <c r="J216" s="34"/>
      <c r="K216" s="34"/>
      <c r="L216" s="34"/>
      <c r="M216" s="34"/>
      <c r="N216" s="34"/>
      <c r="O216" s="34"/>
      <c r="P216" s="34"/>
      <c r="Q216" s="34"/>
      <c r="R216" s="34"/>
      <c r="S216" s="12"/>
      <c r="T216" s="10"/>
      <c r="U216" s="10"/>
      <c r="V216" s="10"/>
      <c r="W216" s="23"/>
      <c r="X216" s="10"/>
      <c r="Y216" s="10"/>
      <c r="Z216" s="10"/>
      <c r="AA216" s="10"/>
      <c r="AB216" s="10"/>
      <c r="AC216" s="10"/>
    </row>
    <row r="217" s="2" customFormat="1" spans="1:29">
      <c r="A217" s="10"/>
      <c r="B217" s="23"/>
      <c r="C217" s="28"/>
      <c r="D217" s="29"/>
      <c r="E217" s="37"/>
      <c r="F217" s="10"/>
      <c r="G217" s="23"/>
      <c r="H217" s="31"/>
      <c r="I217" s="34"/>
      <c r="J217" s="34"/>
      <c r="K217" s="34"/>
      <c r="L217" s="34"/>
      <c r="M217" s="34"/>
      <c r="N217" s="34"/>
      <c r="O217" s="34"/>
      <c r="P217" s="34"/>
      <c r="Q217" s="34"/>
      <c r="R217" s="34"/>
      <c r="S217" s="12"/>
      <c r="T217" s="10"/>
      <c r="U217" s="10"/>
      <c r="V217" s="10"/>
      <c r="W217" s="23"/>
      <c r="X217" s="10"/>
      <c r="Y217" s="10"/>
      <c r="Z217" s="10"/>
      <c r="AA217" s="10"/>
      <c r="AB217" s="10"/>
      <c r="AC217" s="10"/>
    </row>
    <row r="218" s="2" customFormat="1" spans="1:29">
      <c r="A218" s="10"/>
      <c r="B218" s="23"/>
      <c r="C218" s="28"/>
      <c r="D218" s="29"/>
      <c r="E218" s="37"/>
      <c r="F218" s="10"/>
      <c r="G218" s="23"/>
      <c r="H218" s="31"/>
      <c r="I218" s="34"/>
      <c r="J218" s="34"/>
      <c r="K218" s="34"/>
      <c r="L218" s="34"/>
      <c r="M218" s="34"/>
      <c r="N218" s="34"/>
      <c r="O218" s="34"/>
      <c r="P218" s="34"/>
      <c r="Q218" s="34"/>
      <c r="R218" s="34"/>
      <c r="S218" s="12"/>
      <c r="T218" s="10"/>
      <c r="U218" s="10"/>
      <c r="V218" s="10"/>
      <c r="W218" s="23"/>
      <c r="X218" s="10"/>
      <c r="Y218" s="10"/>
      <c r="Z218" s="10"/>
      <c r="AA218" s="10"/>
      <c r="AB218" s="10"/>
      <c r="AC218" s="10"/>
    </row>
    <row r="219" s="2" customFormat="1" spans="1:29">
      <c r="A219" s="10"/>
      <c r="B219" s="23"/>
      <c r="C219" s="28"/>
      <c r="D219" s="29"/>
      <c r="E219" s="37"/>
      <c r="F219" s="10"/>
      <c r="G219" s="23"/>
      <c r="H219" s="31"/>
      <c r="I219" s="34"/>
      <c r="J219" s="34"/>
      <c r="K219" s="34"/>
      <c r="L219" s="34"/>
      <c r="M219" s="34"/>
      <c r="N219" s="34"/>
      <c r="O219" s="34"/>
      <c r="P219" s="34"/>
      <c r="Q219" s="34"/>
      <c r="R219" s="34"/>
      <c r="S219" s="12"/>
      <c r="T219" s="10"/>
      <c r="U219" s="10"/>
      <c r="V219" s="10"/>
      <c r="W219" s="23"/>
      <c r="X219" s="10"/>
      <c r="Y219" s="10"/>
      <c r="Z219" s="10"/>
      <c r="AA219" s="10"/>
      <c r="AB219" s="10"/>
      <c r="AC219" s="10"/>
    </row>
    <row r="220" s="2" customFormat="1" spans="1:29">
      <c r="A220" s="10"/>
      <c r="B220" s="23"/>
      <c r="C220" s="28"/>
      <c r="D220" s="29"/>
      <c r="E220" s="37"/>
      <c r="F220" s="10"/>
      <c r="G220" s="23"/>
      <c r="H220" s="31"/>
      <c r="I220" s="34"/>
      <c r="J220" s="34"/>
      <c r="K220" s="34"/>
      <c r="L220" s="34"/>
      <c r="M220" s="34"/>
      <c r="N220" s="34"/>
      <c r="O220" s="34"/>
      <c r="P220" s="34"/>
      <c r="Q220" s="34"/>
      <c r="R220" s="34"/>
      <c r="S220" s="12"/>
      <c r="T220" s="10"/>
      <c r="U220" s="10"/>
      <c r="V220" s="10"/>
      <c r="W220" s="23"/>
      <c r="X220" s="10"/>
      <c r="Y220" s="10"/>
      <c r="Z220" s="10"/>
      <c r="AA220" s="10"/>
      <c r="AB220" s="10"/>
      <c r="AC220" s="10"/>
    </row>
    <row r="221" s="2" customFormat="1" spans="1:29">
      <c r="A221" s="10"/>
      <c r="B221" s="23"/>
      <c r="C221" s="28"/>
      <c r="D221" s="29"/>
      <c r="E221" s="37"/>
      <c r="F221" s="10"/>
      <c r="G221" s="23"/>
      <c r="H221" s="31"/>
      <c r="I221" s="34"/>
      <c r="J221" s="34"/>
      <c r="K221" s="34"/>
      <c r="L221" s="34"/>
      <c r="M221" s="34"/>
      <c r="N221" s="34"/>
      <c r="O221" s="34"/>
      <c r="P221" s="34"/>
      <c r="Q221" s="34"/>
      <c r="R221" s="34"/>
      <c r="S221" s="12"/>
      <c r="T221" s="10"/>
      <c r="U221" s="10"/>
      <c r="V221" s="10"/>
      <c r="W221" s="23"/>
      <c r="X221" s="10"/>
      <c r="Y221" s="10"/>
      <c r="Z221" s="10"/>
      <c r="AA221" s="10"/>
      <c r="AB221" s="10"/>
      <c r="AC221" s="10"/>
    </row>
    <row r="222" s="2" customFormat="1" spans="1:29">
      <c r="A222" s="10"/>
      <c r="B222" s="23"/>
      <c r="C222" s="28"/>
      <c r="D222" s="29"/>
      <c r="E222" s="37"/>
      <c r="F222" s="10"/>
      <c r="G222" s="23"/>
      <c r="H222" s="31"/>
      <c r="I222" s="34"/>
      <c r="J222" s="34"/>
      <c r="K222" s="34"/>
      <c r="L222" s="34"/>
      <c r="M222" s="34"/>
      <c r="N222" s="34"/>
      <c r="O222" s="34"/>
      <c r="P222" s="34"/>
      <c r="Q222" s="34"/>
      <c r="R222" s="34"/>
      <c r="S222" s="12"/>
      <c r="T222" s="10"/>
      <c r="U222" s="10"/>
      <c r="V222" s="10"/>
      <c r="W222" s="23"/>
      <c r="X222" s="10"/>
      <c r="Y222" s="10"/>
      <c r="Z222" s="10"/>
      <c r="AA222" s="10"/>
      <c r="AB222" s="10"/>
      <c r="AC222" s="10"/>
    </row>
    <row r="223" s="2" customFormat="1" spans="1:29">
      <c r="A223" s="10"/>
      <c r="B223" s="23"/>
      <c r="C223" s="28"/>
      <c r="D223" s="29"/>
      <c r="E223" s="37"/>
      <c r="F223" s="23"/>
      <c r="G223" s="23"/>
      <c r="H223" s="31"/>
      <c r="I223" s="34"/>
      <c r="J223" s="34"/>
      <c r="K223" s="34"/>
      <c r="L223" s="34"/>
      <c r="M223" s="34"/>
      <c r="N223" s="34"/>
      <c r="O223" s="34"/>
      <c r="P223" s="34"/>
      <c r="Q223" s="34"/>
      <c r="R223" s="34"/>
      <c r="S223" s="12"/>
      <c r="T223" s="10"/>
      <c r="U223" s="10"/>
      <c r="V223" s="10"/>
      <c r="W223" s="23"/>
      <c r="X223" s="10"/>
      <c r="Y223" s="10"/>
      <c r="Z223" s="10"/>
      <c r="AA223" s="10"/>
      <c r="AB223" s="10"/>
      <c r="AC223" s="10"/>
    </row>
    <row r="224" s="2" customFormat="1" spans="1:29">
      <c r="A224" s="10"/>
      <c r="B224" s="23"/>
      <c r="C224" s="28"/>
      <c r="D224" s="29"/>
      <c r="E224" s="37"/>
      <c r="F224" s="23"/>
      <c r="G224" s="23"/>
      <c r="H224" s="31"/>
      <c r="I224" s="34"/>
      <c r="J224" s="34"/>
      <c r="K224" s="34"/>
      <c r="L224" s="34"/>
      <c r="M224" s="34"/>
      <c r="N224" s="34"/>
      <c r="O224" s="34"/>
      <c r="P224" s="34"/>
      <c r="Q224" s="34"/>
      <c r="R224" s="34"/>
      <c r="S224" s="35"/>
      <c r="T224" s="10"/>
      <c r="U224" s="10"/>
      <c r="V224" s="10"/>
      <c r="W224" s="23"/>
      <c r="X224" s="10"/>
      <c r="Y224" s="10"/>
      <c r="Z224" s="10"/>
      <c r="AA224" s="10"/>
      <c r="AB224" s="10"/>
      <c r="AC224" s="10"/>
    </row>
    <row r="225" s="2" customFormat="1" spans="1:29">
      <c r="A225" s="10"/>
      <c r="B225" s="23"/>
      <c r="C225" s="28"/>
      <c r="D225" s="29"/>
      <c r="E225" s="12"/>
      <c r="F225" s="23"/>
      <c r="G225" s="23"/>
      <c r="H225" s="17"/>
      <c r="I225" s="34"/>
      <c r="J225" s="34"/>
      <c r="K225" s="34"/>
      <c r="L225" s="34"/>
      <c r="M225" s="34"/>
      <c r="N225" s="34"/>
      <c r="O225" s="34"/>
      <c r="P225" s="34"/>
      <c r="Q225" s="34"/>
      <c r="R225" s="34"/>
      <c r="S225" s="12"/>
      <c r="T225" s="10"/>
      <c r="U225" s="10"/>
      <c r="V225" s="10"/>
      <c r="W225" s="23"/>
      <c r="X225" s="10"/>
      <c r="Y225" s="10"/>
      <c r="Z225" s="10"/>
      <c r="AA225" s="10"/>
      <c r="AB225" s="10"/>
      <c r="AC225" s="10"/>
    </row>
    <row r="226" s="2" customFormat="1" spans="1:29">
      <c r="A226" s="10"/>
      <c r="B226" s="23"/>
      <c r="C226" s="28"/>
      <c r="D226" s="29"/>
      <c r="E226" s="12"/>
      <c r="F226" s="23"/>
      <c r="G226" s="23"/>
      <c r="H226" s="17"/>
      <c r="I226" s="34"/>
      <c r="J226" s="34"/>
      <c r="K226" s="34"/>
      <c r="L226" s="34"/>
      <c r="M226" s="34"/>
      <c r="N226" s="34"/>
      <c r="O226" s="34"/>
      <c r="P226" s="34"/>
      <c r="Q226" s="34"/>
      <c r="R226" s="34"/>
      <c r="S226" s="12"/>
      <c r="T226" s="10"/>
      <c r="U226" s="10"/>
      <c r="V226" s="10"/>
      <c r="W226" s="23"/>
      <c r="X226" s="10"/>
      <c r="Y226" s="10"/>
      <c r="Z226" s="10"/>
      <c r="AA226" s="10"/>
      <c r="AB226" s="10"/>
      <c r="AC226" s="10"/>
    </row>
    <row r="227" s="2" customFormat="1" spans="1:29">
      <c r="A227" s="10"/>
      <c r="B227" s="23"/>
      <c r="C227" s="28"/>
      <c r="D227" s="29"/>
      <c r="E227" s="12"/>
      <c r="F227" s="23"/>
      <c r="G227" s="23"/>
      <c r="H227" s="17"/>
      <c r="I227" s="34"/>
      <c r="J227" s="34"/>
      <c r="K227" s="34"/>
      <c r="L227" s="34"/>
      <c r="M227" s="34"/>
      <c r="N227" s="34"/>
      <c r="O227" s="34"/>
      <c r="P227" s="34"/>
      <c r="Q227" s="34"/>
      <c r="R227" s="34"/>
      <c r="S227" s="12"/>
      <c r="T227" s="10"/>
      <c r="U227" s="10"/>
      <c r="V227" s="10"/>
      <c r="W227" s="23"/>
      <c r="X227" s="10"/>
      <c r="Y227" s="10"/>
      <c r="Z227" s="10"/>
      <c r="AA227" s="10"/>
      <c r="AB227" s="10"/>
      <c r="AC227" s="10"/>
    </row>
    <row r="228" s="2" customFormat="1" spans="1:29">
      <c r="A228" s="10"/>
      <c r="B228" s="23"/>
      <c r="C228" s="28"/>
      <c r="D228" s="29"/>
      <c r="E228" s="35"/>
      <c r="F228" s="23"/>
      <c r="G228" s="23"/>
      <c r="H228" s="36"/>
      <c r="I228" s="34"/>
      <c r="J228" s="34"/>
      <c r="K228" s="34"/>
      <c r="L228" s="34"/>
      <c r="M228" s="34"/>
      <c r="N228" s="34"/>
      <c r="O228" s="34"/>
      <c r="P228" s="34"/>
      <c r="Q228" s="34"/>
      <c r="R228" s="34"/>
      <c r="S228" s="12"/>
      <c r="T228" s="10"/>
      <c r="U228" s="10"/>
      <c r="V228" s="10"/>
      <c r="W228" s="23"/>
      <c r="X228" s="10"/>
      <c r="Y228" s="10"/>
      <c r="Z228" s="10"/>
      <c r="AA228" s="10"/>
      <c r="AB228" s="10"/>
      <c r="AC228" s="10"/>
    </row>
    <row r="229" s="2" customFormat="1" spans="1:29">
      <c r="A229" s="10"/>
      <c r="B229" s="23"/>
      <c r="C229" s="28"/>
      <c r="D229" s="29"/>
      <c r="E229" s="35"/>
      <c r="F229" s="23"/>
      <c r="G229" s="23"/>
      <c r="H229" s="36"/>
      <c r="I229" s="34"/>
      <c r="J229" s="34"/>
      <c r="K229" s="34"/>
      <c r="L229" s="34"/>
      <c r="M229" s="34"/>
      <c r="N229" s="34"/>
      <c r="O229" s="34"/>
      <c r="P229" s="34"/>
      <c r="Q229" s="34"/>
      <c r="R229" s="34"/>
      <c r="S229" s="12"/>
      <c r="T229" s="10"/>
      <c r="U229" s="10"/>
      <c r="V229" s="10"/>
      <c r="W229" s="23"/>
      <c r="X229" s="10"/>
      <c r="Y229" s="10"/>
      <c r="Z229" s="10"/>
      <c r="AA229" s="10"/>
      <c r="AB229" s="10"/>
      <c r="AC229" s="10"/>
    </row>
    <row r="230" s="2" customFormat="1" spans="1:29">
      <c r="A230" s="10"/>
      <c r="B230" s="23"/>
      <c r="C230" s="28"/>
      <c r="D230" s="29"/>
      <c r="E230" s="35"/>
      <c r="F230" s="23"/>
      <c r="G230" s="23"/>
      <c r="H230" s="36"/>
      <c r="I230" s="34"/>
      <c r="J230" s="34"/>
      <c r="K230" s="34"/>
      <c r="L230" s="34"/>
      <c r="M230" s="34"/>
      <c r="N230" s="34"/>
      <c r="O230" s="34"/>
      <c r="P230" s="34"/>
      <c r="Q230" s="34"/>
      <c r="R230" s="34"/>
      <c r="S230" s="12"/>
      <c r="T230" s="10"/>
      <c r="U230" s="10"/>
      <c r="V230" s="10"/>
      <c r="W230" s="23"/>
      <c r="X230" s="10"/>
      <c r="Y230" s="10"/>
      <c r="Z230" s="10"/>
      <c r="AA230" s="10"/>
      <c r="AB230" s="10"/>
      <c r="AC230" s="10"/>
    </row>
    <row r="231" s="2" customFormat="1" spans="1:29">
      <c r="A231" s="10"/>
      <c r="B231" s="23"/>
      <c r="C231" s="28"/>
      <c r="D231" s="29"/>
      <c r="E231" s="35"/>
      <c r="F231" s="23"/>
      <c r="G231" s="23"/>
      <c r="H231" s="36"/>
      <c r="I231" s="34"/>
      <c r="J231" s="34"/>
      <c r="K231" s="34"/>
      <c r="L231" s="34"/>
      <c r="M231" s="34"/>
      <c r="N231" s="34"/>
      <c r="O231" s="34"/>
      <c r="P231" s="34"/>
      <c r="Q231" s="34"/>
      <c r="R231" s="34"/>
      <c r="S231" s="12"/>
      <c r="T231" s="10"/>
      <c r="U231" s="10"/>
      <c r="V231" s="10"/>
      <c r="W231" s="23"/>
      <c r="X231" s="10"/>
      <c r="Y231" s="10"/>
      <c r="Z231" s="10"/>
      <c r="AA231" s="10"/>
      <c r="AB231" s="10"/>
      <c r="AC231" s="10"/>
    </row>
    <row r="232" s="2" customFormat="1" spans="1:29">
      <c r="A232" s="10"/>
      <c r="B232" s="23"/>
      <c r="C232" s="28"/>
      <c r="D232" s="29"/>
      <c r="E232" s="35"/>
      <c r="F232" s="23"/>
      <c r="G232" s="23"/>
      <c r="H232" s="36"/>
      <c r="I232" s="34"/>
      <c r="J232" s="34"/>
      <c r="K232" s="34"/>
      <c r="L232" s="34"/>
      <c r="M232" s="34"/>
      <c r="N232" s="34"/>
      <c r="O232" s="34"/>
      <c r="P232" s="34"/>
      <c r="Q232" s="34"/>
      <c r="R232" s="34"/>
      <c r="S232" s="12"/>
      <c r="T232" s="10"/>
      <c r="U232" s="10"/>
      <c r="V232" s="10"/>
      <c r="W232" s="23"/>
      <c r="X232" s="10"/>
      <c r="Y232" s="10"/>
      <c r="Z232" s="10"/>
      <c r="AA232" s="10"/>
      <c r="AB232" s="10"/>
      <c r="AC232" s="10"/>
    </row>
    <row r="233" s="2" customFormat="1" spans="1:29">
      <c r="A233" s="10"/>
      <c r="B233" s="23"/>
      <c r="C233" s="28"/>
      <c r="D233" s="29"/>
      <c r="E233" s="35"/>
      <c r="F233" s="23"/>
      <c r="G233" s="23"/>
      <c r="H233" s="36"/>
      <c r="I233" s="34"/>
      <c r="J233" s="34"/>
      <c r="K233" s="34"/>
      <c r="L233" s="34"/>
      <c r="M233" s="34"/>
      <c r="N233" s="34"/>
      <c r="O233" s="34"/>
      <c r="P233" s="34"/>
      <c r="Q233" s="34"/>
      <c r="R233" s="34"/>
      <c r="S233" s="12"/>
      <c r="T233" s="10"/>
      <c r="U233" s="10"/>
      <c r="V233" s="10"/>
      <c r="W233" s="23"/>
      <c r="X233" s="10"/>
      <c r="Y233" s="10"/>
      <c r="Z233" s="10"/>
      <c r="AA233" s="10"/>
      <c r="AB233" s="10"/>
      <c r="AC233" s="10"/>
    </row>
    <row r="234" s="2" customFormat="1" spans="1:29">
      <c r="A234" s="10"/>
      <c r="B234" s="23"/>
      <c r="C234" s="28"/>
      <c r="D234" s="29"/>
      <c r="E234" s="35"/>
      <c r="F234" s="23"/>
      <c r="G234" s="23"/>
      <c r="H234" s="36"/>
      <c r="I234" s="34"/>
      <c r="J234" s="34"/>
      <c r="K234" s="34"/>
      <c r="L234" s="34"/>
      <c r="M234" s="34"/>
      <c r="N234" s="34"/>
      <c r="O234" s="34"/>
      <c r="P234" s="34"/>
      <c r="Q234" s="34"/>
      <c r="R234" s="34"/>
      <c r="S234" s="12"/>
      <c r="T234" s="10"/>
      <c r="U234" s="10"/>
      <c r="V234" s="10"/>
      <c r="W234" s="23"/>
      <c r="X234" s="10"/>
      <c r="Y234" s="10"/>
      <c r="Z234" s="10"/>
      <c r="AA234" s="10"/>
      <c r="AB234" s="10"/>
      <c r="AC234" s="10"/>
    </row>
    <row r="235" s="2" customFormat="1" spans="1:29">
      <c r="A235" s="10"/>
      <c r="B235" s="23"/>
      <c r="C235" s="28"/>
      <c r="D235" s="23"/>
      <c r="E235" s="12"/>
      <c r="F235" s="23"/>
      <c r="G235" s="23"/>
      <c r="H235" s="36"/>
      <c r="I235" s="34"/>
      <c r="J235" s="34"/>
      <c r="K235" s="34"/>
      <c r="L235" s="34"/>
      <c r="M235" s="34"/>
      <c r="N235" s="34"/>
      <c r="O235" s="34"/>
      <c r="P235" s="34"/>
      <c r="Q235" s="34"/>
      <c r="R235" s="34"/>
      <c r="S235" s="12"/>
      <c r="T235" s="10"/>
      <c r="U235" s="10"/>
      <c r="V235" s="10"/>
      <c r="W235" s="23"/>
      <c r="X235" s="10"/>
      <c r="Y235" s="10"/>
      <c r="Z235" s="10"/>
      <c r="AA235" s="10"/>
      <c r="AB235" s="10"/>
      <c r="AC235" s="10"/>
    </row>
    <row r="236" s="2" customFormat="1" spans="1:29">
      <c r="A236" s="10"/>
      <c r="B236" s="10"/>
      <c r="C236" s="28"/>
      <c r="D236" s="23"/>
      <c r="E236" s="35"/>
      <c r="F236" s="23"/>
      <c r="G236" s="23"/>
      <c r="H236" s="31"/>
      <c r="I236" s="34"/>
      <c r="J236" s="34"/>
      <c r="K236" s="34"/>
      <c r="L236" s="34"/>
      <c r="M236" s="34"/>
      <c r="N236" s="34"/>
      <c r="O236" s="34"/>
      <c r="P236" s="34"/>
      <c r="Q236" s="34"/>
      <c r="R236" s="34"/>
      <c r="S236" s="12"/>
      <c r="T236" s="10"/>
      <c r="U236" s="10"/>
      <c r="V236" s="10"/>
      <c r="W236" s="23"/>
      <c r="X236" s="10"/>
      <c r="Y236" s="10"/>
      <c r="Z236" s="10"/>
      <c r="AA236" s="10"/>
      <c r="AB236" s="10"/>
      <c r="AC236" s="10"/>
    </row>
    <row r="237" s="2" customFormat="1" spans="1:29">
      <c r="A237" s="10"/>
      <c r="B237" s="10"/>
      <c r="C237" s="28"/>
      <c r="D237" s="23"/>
      <c r="E237" s="35"/>
      <c r="F237" s="23"/>
      <c r="G237" s="23"/>
      <c r="H237" s="31"/>
      <c r="I237" s="34"/>
      <c r="J237" s="34"/>
      <c r="K237" s="34"/>
      <c r="L237" s="34"/>
      <c r="M237" s="34"/>
      <c r="N237" s="34"/>
      <c r="O237" s="34"/>
      <c r="P237" s="34"/>
      <c r="Q237" s="34"/>
      <c r="R237" s="34"/>
      <c r="S237" s="12"/>
      <c r="T237" s="10"/>
      <c r="U237" s="10"/>
      <c r="V237" s="10"/>
      <c r="W237" s="23"/>
      <c r="X237" s="10"/>
      <c r="Y237" s="10"/>
      <c r="Z237" s="10"/>
      <c r="AA237" s="10"/>
      <c r="AB237" s="10"/>
      <c r="AC237" s="10"/>
    </row>
    <row r="238" s="2" customFormat="1" spans="1:29">
      <c r="A238" s="10"/>
      <c r="B238" s="10"/>
      <c r="C238" s="28"/>
      <c r="D238" s="23"/>
      <c r="E238" s="35"/>
      <c r="F238" s="23"/>
      <c r="G238" s="23"/>
      <c r="H238" s="31"/>
      <c r="I238" s="34"/>
      <c r="J238" s="34"/>
      <c r="K238" s="34"/>
      <c r="L238" s="34"/>
      <c r="M238" s="34"/>
      <c r="N238" s="34"/>
      <c r="O238" s="34"/>
      <c r="P238" s="34"/>
      <c r="Q238" s="34"/>
      <c r="R238" s="34"/>
      <c r="S238" s="12"/>
      <c r="T238" s="10"/>
      <c r="U238" s="10"/>
      <c r="V238" s="10"/>
      <c r="W238" s="23"/>
      <c r="X238" s="10"/>
      <c r="Y238" s="10"/>
      <c r="Z238" s="10"/>
      <c r="AA238" s="10"/>
      <c r="AB238" s="10"/>
      <c r="AC238" s="10"/>
    </row>
    <row r="239" s="2" customFormat="1" spans="1:29">
      <c r="A239" s="10"/>
      <c r="B239" s="10"/>
      <c r="C239" s="28"/>
      <c r="D239" s="23"/>
      <c r="E239" s="35"/>
      <c r="F239" s="23"/>
      <c r="G239" s="23"/>
      <c r="H239" s="31"/>
      <c r="I239" s="34"/>
      <c r="J239" s="34"/>
      <c r="K239" s="34"/>
      <c r="L239" s="34"/>
      <c r="M239" s="34"/>
      <c r="N239" s="34"/>
      <c r="O239" s="34"/>
      <c r="P239" s="34"/>
      <c r="Q239" s="34"/>
      <c r="R239" s="34"/>
      <c r="S239" s="12"/>
      <c r="T239" s="10"/>
      <c r="U239" s="10"/>
      <c r="V239" s="10"/>
      <c r="W239" s="23"/>
      <c r="X239" s="10"/>
      <c r="Y239" s="10"/>
      <c r="Z239" s="10"/>
      <c r="AA239" s="10"/>
      <c r="AB239" s="10"/>
      <c r="AC239" s="10"/>
    </row>
    <row r="240" s="2" customFormat="1" spans="1:29">
      <c r="A240" s="10"/>
      <c r="B240" s="10"/>
      <c r="C240" s="28"/>
      <c r="D240" s="23"/>
      <c r="E240" s="35"/>
      <c r="F240" s="23"/>
      <c r="G240" s="23"/>
      <c r="H240" s="31"/>
      <c r="I240" s="34"/>
      <c r="J240" s="34"/>
      <c r="K240" s="34"/>
      <c r="L240" s="34"/>
      <c r="M240" s="34"/>
      <c r="N240" s="34"/>
      <c r="O240" s="34"/>
      <c r="P240" s="34"/>
      <c r="Q240" s="34"/>
      <c r="R240" s="34"/>
      <c r="S240" s="12"/>
      <c r="T240" s="10"/>
      <c r="U240" s="10"/>
      <c r="V240" s="10"/>
      <c r="W240" s="23"/>
      <c r="X240" s="10"/>
      <c r="Y240" s="10"/>
      <c r="Z240" s="10"/>
      <c r="AA240" s="10"/>
      <c r="AB240" s="10"/>
      <c r="AC240" s="10"/>
    </row>
    <row r="241" s="2" customFormat="1" spans="1:29">
      <c r="A241" s="10"/>
      <c r="B241" s="10"/>
      <c r="C241" s="28"/>
      <c r="D241" s="23"/>
      <c r="E241" s="35"/>
      <c r="F241" s="23"/>
      <c r="G241" s="23"/>
      <c r="H241" s="31"/>
      <c r="I241" s="34"/>
      <c r="J241" s="34"/>
      <c r="K241" s="34"/>
      <c r="L241" s="34"/>
      <c r="M241" s="34"/>
      <c r="N241" s="34"/>
      <c r="O241" s="34"/>
      <c r="P241" s="34"/>
      <c r="Q241" s="34"/>
      <c r="R241" s="34"/>
      <c r="S241" s="12"/>
      <c r="T241" s="10"/>
      <c r="U241" s="10"/>
      <c r="V241" s="10"/>
      <c r="W241" s="23"/>
      <c r="X241" s="10"/>
      <c r="Y241" s="10"/>
      <c r="Z241" s="10"/>
      <c r="AA241" s="10"/>
      <c r="AB241" s="10"/>
      <c r="AC241" s="10"/>
    </row>
    <row r="242" s="2" customFormat="1" spans="1:29">
      <c r="A242" s="10"/>
      <c r="B242" s="10"/>
      <c r="C242" s="28"/>
      <c r="D242" s="23"/>
      <c r="E242" s="35"/>
      <c r="F242" s="23"/>
      <c r="G242" s="23"/>
      <c r="H242" s="31"/>
      <c r="I242" s="34"/>
      <c r="J242" s="34"/>
      <c r="K242" s="34"/>
      <c r="L242" s="34"/>
      <c r="M242" s="34"/>
      <c r="N242" s="34"/>
      <c r="O242" s="34"/>
      <c r="P242" s="34"/>
      <c r="Q242" s="34"/>
      <c r="R242" s="34"/>
      <c r="S242" s="12"/>
      <c r="T242" s="10"/>
      <c r="U242" s="10"/>
      <c r="V242" s="10"/>
      <c r="W242" s="23"/>
      <c r="X242" s="10"/>
      <c r="Y242" s="10"/>
      <c r="Z242" s="10"/>
      <c r="AA242" s="10"/>
      <c r="AB242" s="10"/>
      <c r="AC242" s="10"/>
    </row>
    <row r="243" s="2" customFormat="1" spans="1:29">
      <c r="A243" s="10"/>
      <c r="B243" s="10"/>
      <c r="C243" s="28"/>
      <c r="D243" s="23"/>
      <c r="E243" s="35"/>
      <c r="F243" s="23"/>
      <c r="G243" s="23"/>
      <c r="H243" s="31"/>
      <c r="I243" s="34"/>
      <c r="J243" s="34"/>
      <c r="K243" s="34"/>
      <c r="L243" s="34"/>
      <c r="M243" s="34"/>
      <c r="N243" s="34"/>
      <c r="O243" s="34"/>
      <c r="P243" s="34"/>
      <c r="Q243" s="34"/>
      <c r="R243" s="34"/>
      <c r="S243" s="12"/>
      <c r="T243" s="10"/>
      <c r="U243" s="10"/>
      <c r="V243" s="10"/>
      <c r="W243" s="23"/>
      <c r="X243" s="10"/>
      <c r="Y243" s="10"/>
      <c r="Z243" s="10"/>
      <c r="AA243" s="10"/>
      <c r="AB243" s="10"/>
      <c r="AC243" s="10"/>
    </row>
    <row r="244" s="2" customFormat="1" spans="1:29">
      <c r="A244" s="10"/>
      <c r="B244" s="23"/>
      <c r="C244" s="29"/>
      <c r="D244" s="23"/>
      <c r="E244" s="35"/>
      <c r="F244" s="23"/>
      <c r="G244" s="23"/>
      <c r="H244" s="32"/>
      <c r="I244" s="34"/>
      <c r="J244" s="34"/>
      <c r="K244" s="34"/>
      <c r="L244" s="34"/>
      <c r="M244" s="34"/>
      <c r="N244" s="34"/>
      <c r="O244" s="34"/>
      <c r="P244" s="34"/>
      <c r="Q244" s="34"/>
      <c r="R244" s="34"/>
      <c r="S244" s="35"/>
      <c r="T244" s="10"/>
      <c r="U244" s="10"/>
      <c r="V244" s="10"/>
      <c r="W244" s="23"/>
      <c r="X244" s="10"/>
      <c r="Y244" s="10"/>
      <c r="Z244" s="10"/>
      <c r="AA244" s="10"/>
      <c r="AB244" s="10"/>
      <c r="AC244" s="10"/>
    </row>
    <row r="245" s="2" customFormat="1" spans="1:29">
      <c r="A245" s="10"/>
      <c r="B245" s="23"/>
      <c r="C245" s="29"/>
      <c r="D245" s="23"/>
      <c r="E245" s="35"/>
      <c r="F245" s="23"/>
      <c r="G245" s="23"/>
      <c r="H245" s="32"/>
      <c r="I245" s="34"/>
      <c r="J245" s="34"/>
      <c r="K245" s="34"/>
      <c r="L245" s="34"/>
      <c r="M245" s="34"/>
      <c r="N245" s="34"/>
      <c r="O245" s="34"/>
      <c r="P245" s="34"/>
      <c r="Q245" s="34"/>
      <c r="R245" s="34"/>
      <c r="S245" s="12"/>
      <c r="T245" s="10"/>
      <c r="U245" s="10"/>
      <c r="V245" s="10"/>
      <c r="W245" s="23"/>
      <c r="X245" s="10"/>
      <c r="Y245" s="10"/>
      <c r="Z245" s="10"/>
      <c r="AA245" s="10"/>
      <c r="AB245" s="10"/>
      <c r="AC245" s="10"/>
    </row>
    <row r="246" s="2" customFormat="1" spans="1:29">
      <c r="A246" s="10"/>
      <c r="B246" s="23"/>
      <c r="C246" s="29"/>
      <c r="D246" s="23"/>
      <c r="E246" s="35"/>
      <c r="F246" s="23"/>
      <c r="G246" s="23"/>
      <c r="H246" s="32"/>
      <c r="I246" s="34"/>
      <c r="J246" s="34"/>
      <c r="K246" s="34"/>
      <c r="L246" s="34"/>
      <c r="M246" s="34"/>
      <c r="N246" s="34"/>
      <c r="O246" s="34"/>
      <c r="P246" s="34"/>
      <c r="Q246" s="34"/>
      <c r="R246" s="34"/>
      <c r="S246" s="12"/>
      <c r="T246" s="10"/>
      <c r="U246" s="10"/>
      <c r="V246" s="10"/>
      <c r="W246" s="23"/>
      <c r="X246" s="10"/>
      <c r="Y246" s="10"/>
      <c r="Z246" s="10"/>
      <c r="AA246" s="10"/>
      <c r="AB246" s="10"/>
      <c r="AC246" s="10"/>
    </row>
    <row r="247" s="2" customFormat="1" spans="1:29">
      <c r="A247" s="10"/>
      <c r="B247" s="23"/>
      <c r="C247" s="29"/>
      <c r="D247" s="23"/>
      <c r="E247" s="35"/>
      <c r="F247" s="23"/>
      <c r="G247" s="23"/>
      <c r="H247" s="32"/>
      <c r="I247" s="34"/>
      <c r="J247" s="34"/>
      <c r="K247" s="34"/>
      <c r="L247" s="34"/>
      <c r="M247" s="34"/>
      <c r="N247" s="34"/>
      <c r="O247" s="34"/>
      <c r="P247" s="34"/>
      <c r="Q247" s="34"/>
      <c r="R247" s="34"/>
      <c r="S247" s="12"/>
      <c r="T247" s="10"/>
      <c r="U247" s="10"/>
      <c r="V247" s="10"/>
      <c r="W247" s="23"/>
      <c r="X247" s="10"/>
      <c r="Y247" s="10"/>
      <c r="Z247" s="10"/>
      <c r="AA247" s="10"/>
      <c r="AB247" s="10"/>
      <c r="AC247" s="10"/>
    </row>
    <row r="248" s="2" customFormat="1" spans="1:29">
      <c r="A248" s="10"/>
      <c r="B248" s="23"/>
      <c r="C248" s="29"/>
      <c r="D248" s="23"/>
      <c r="E248" s="35"/>
      <c r="F248" s="23"/>
      <c r="G248" s="23"/>
      <c r="H248" s="32"/>
      <c r="I248" s="34"/>
      <c r="J248" s="34"/>
      <c r="K248" s="34"/>
      <c r="L248" s="34"/>
      <c r="M248" s="34"/>
      <c r="N248" s="34"/>
      <c r="O248" s="34"/>
      <c r="P248" s="34"/>
      <c r="Q248" s="34"/>
      <c r="R248" s="34"/>
      <c r="S248" s="12"/>
      <c r="T248" s="10"/>
      <c r="U248" s="10"/>
      <c r="V248" s="10"/>
      <c r="W248" s="23"/>
      <c r="X248" s="10"/>
      <c r="Y248" s="10"/>
      <c r="Z248" s="10"/>
      <c r="AA248" s="10"/>
      <c r="AB248" s="10"/>
      <c r="AC248" s="10"/>
    </row>
    <row r="249" s="2" customFormat="1" spans="1:29">
      <c r="A249" s="10"/>
      <c r="B249" s="23"/>
      <c r="C249" s="29"/>
      <c r="D249" s="23"/>
      <c r="E249" s="35"/>
      <c r="F249" s="23"/>
      <c r="G249" s="23"/>
      <c r="H249" s="32"/>
      <c r="I249" s="34"/>
      <c r="J249" s="34"/>
      <c r="K249" s="34"/>
      <c r="L249" s="34"/>
      <c r="M249" s="34"/>
      <c r="N249" s="34"/>
      <c r="O249" s="34"/>
      <c r="P249" s="34"/>
      <c r="Q249" s="34"/>
      <c r="R249" s="34"/>
      <c r="S249" s="12"/>
      <c r="T249" s="10"/>
      <c r="U249" s="10"/>
      <c r="V249" s="10"/>
      <c r="W249" s="23"/>
      <c r="X249" s="10"/>
      <c r="Y249" s="10"/>
      <c r="Z249" s="10"/>
      <c r="AA249" s="10"/>
      <c r="AB249" s="10"/>
      <c r="AC249" s="10"/>
    </row>
    <row r="250" s="2" customFormat="1" spans="1:29">
      <c r="A250" s="10"/>
      <c r="B250" s="23"/>
      <c r="C250" s="29"/>
      <c r="D250" s="23"/>
      <c r="E250" s="35"/>
      <c r="F250" s="23"/>
      <c r="G250" s="23"/>
      <c r="H250" s="32"/>
      <c r="I250" s="34"/>
      <c r="J250" s="34"/>
      <c r="K250" s="34"/>
      <c r="L250" s="34"/>
      <c r="M250" s="34"/>
      <c r="N250" s="34"/>
      <c r="O250" s="34"/>
      <c r="P250" s="34"/>
      <c r="Q250" s="34"/>
      <c r="R250" s="34"/>
      <c r="S250" s="12"/>
      <c r="T250" s="10"/>
      <c r="U250" s="10"/>
      <c r="V250" s="10"/>
      <c r="W250" s="23"/>
      <c r="X250" s="10"/>
      <c r="Y250" s="10"/>
      <c r="Z250" s="10"/>
      <c r="AA250" s="10"/>
      <c r="AB250" s="10"/>
      <c r="AC250" s="10"/>
    </row>
    <row r="251" s="2" customFormat="1" spans="1:29">
      <c r="A251" s="10"/>
      <c r="B251" s="23"/>
      <c r="C251" s="29"/>
      <c r="D251" s="23"/>
      <c r="E251" s="35"/>
      <c r="F251" s="23"/>
      <c r="G251" s="23"/>
      <c r="H251" s="32"/>
      <c r="I251" s="34"/>
      <c r="J251" s="34"/>
      <c r="K251" s="34"/>
      <c r="L251" s="34"/>
      <c r="M251" s="34"/>
      <c r="N251" s="34"/>
      <c r="O251" s="34"/>
      <c r="P251" s="34"/>
      <c r="Q251" s="34"/>
      <c r="R251" s="34"/>
      <c r="S251" s="12"/>
      <c r="T251" s="10"/>
      <c r="U251" s="10"/>
      <c r="V251" s="10"/>
      <c r="W251" s="23"/>
      <c r="X251" s="10"/>
      <c r="Y251" s="10"/>
      <c r="Z251" s="10"/>
      <c r="AA251" s="10"/>
      <c r="AB251" s="10"/>
      <c r="AC251" s="10"/>
    </row>
    <row r="252" s="2" customFormat="1" spans="1:29">
      <c r="A252" s="10"/>
      <c r="B252" s="23"/>
      <c r="C252" s="29"/>
      <c r="D252" s="23"/>
      <c r="E252" s="35"/>
      <c r="F252" s="23"/>
      <c r="G252" s="23"/>
      <c r="H252" s="32"/>
      <c r="I252" s="34"/>
      <c r="J252" s="34"/>
      <c r="K252" s="34"/>
      <c r="L252" s="34"/>
      <c r="M252" s="34"/>
      <c r="N252" s="34"/>
      <c r="O252" s="34"/>
      <c r="P252" s="34"/>
      <c r="Q252" s="34"/>
      <c r="R252" s="34"/>
      <c r="S252" s="12"/>
      <c r="T252" s="10"/>
      <c r="U252" s="10"/>
      <c r="V252" s="10"/>
      <c r="W252" s="23"/>
      <c r="X252" s="10"/>
      <c r="Y252" s="10"/>
      <c r="Z252" s="10"/>
      <c r="AA252" s="10"/>
      <c r="AB252" s="10"/>
      <c r="AC252" s="10"/>
    </row>
    <row r="253" s="2" customFormat="1" spans="1:29">
      <c r="A253" s="10"/>
      <c r="B253" s="23"/>
      <c r="C253" s="23"/>
      <c r="D253" s="23"/>
      <c r="E253" s="35"/>
      <c r="F253" s="23"/>
      <c r="G253" s="23"/>
      <c r="H253" s="36"/>
      <c r="I253" s="34"/>
      <c r="J253" s="34"/>
      <c r="K253" s="34"/>
      <c r="L253" s="34"/>
      <c r="M253" s="34"/>
      <c r="N253" s="34"/>
      <c r="O253" s="34"/>
      <c r="P253" s="34"/>
      <c r="Q253" s="34"/>
      <c r="R253" s="34"/>
      <c r="S253" s="35"/>
      <c r="T253" s="10"/>
      <c r="U253" s="10"/>
      <c r="V253" s="10"/>
      <c r="W253" s="23"/>
      <c r="X253" s="10"/>
      <c r="Y253" s="10"/>
      <c r="Z253" s="10"/>
      <c r="AA253" s="10"/>
      <c r="AB253" s="10"/>
      <c r="AC253" s="10"/>
    </row>
  </sheetData>
  <autoFilter xmlns:etc="http://www.wps.cn/officeDocument/2017/etCustomData" ref="A1:AC77" etc:filterBottomFollowUsedRange="0">
    <filterColumn colId="1">
      <customFilters>
        <customFilter operator="equal" val="风险评估与建议"/>
      </customFilters>
    </filterColumn>
    <extLst/>
  </autoFilter>
  <mergeCells count="12">
    <mergeCell ref="H4:H8"/>
    <mergeCell ref="H9:H10"/>
    <mergeCell ref="H12:H26"/>
    <mergeCell ref="H29:H42"/>
    <mergeCell ref="H43:H47"/>
    <mergeCell ref="H49:H51"/>
    <mergeCell ref="H52:H53"/>
    <mergeCell ref="H56:H58"/>
    <mergeCell ref="H63:H65"/>
    <mergeCell ref="H66:H67"/>
    <mergeCell ref="H68:H72"/>
    <mergeCell ref="H73:H74"/>
  </mergeCells>
  <pageMargins left="0.75" right="0.75" top="1" bottom="1" header="0.5" footer="0.5"/>
  <headerFooter/>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AC212"/>
  <sheetViews>
    <sheetView zoomScale="80" zoomScaleNormal="80" workbookViewId="0">
      <pane ySplit="1" topLeftCell="A36" activePane="bottomLeft" state="frozen"/>
      <selection/>
      <selection pane="bottomLeft" activeCell="S40" sqref="S40"/>
    </sheetView>
  </sheetViews>
  <sheetFormatPr defaultColWidth="9.06666666666667" defaultRowHeight="16.5"/>
  <cols>
    <col min="1" max="1" width="10.9416666666667" style="3" customWidth="1"/>
    <col min="2" max="2" width="17.7" style="3" customWidth="1"/>
    <col min="3" max="3" width="20.2" style="3" customWidth="1"/>
    <col min="4" max="4" width="19.6" style="3" customWidth="1"/>
    <col min="5" max="5" width="24.1" style="3" hidden="1" customWidth="1"/>
    <col min="6" max="7" width="11.25" style="4" hidden="1" customWidth="1"/>
    <col min="8" max="8" width="19.5" style="3" customWidth="1"/>
    <col min="9" max="9" width="16.5" style="3" hidden="1" customWidth="1"/>
    <col min="10" max="10" width="21.875" style="3" hidden="1" customWidth="1"/>
    <col min="11" max="11" width="13.875" style="3" hidden="1" customWidth="1"/>
    <col min="12" max="17" width="11.25" style="3" hidden="1" customWidth="1"/>
    <col min="18" max="18" width="11" style="3" hidden="1" customWidth="1"/>
    <col min="19" max="19" width="32" style="3" customWidth="1"/>
    <col min="20" max="20" width="13.375" style="4" customWidth="1"/>
    <col min="21" max="21" width="21.525" style="4" customWidth="1"/>
    <col min="22" max="22" width="12.625" style="4" customWidth="1"/>
    <col min="23" max="23" width="7.4" style="5" customWidth="1"/>
    <col min="24" max="24" width="23.375" style="4" customWidth="1"/>
    <col min="25" max="25" width="13.875" style="4" customWidth="1"/>
    <col min="26" max="26" width="26.0583333333333" style="4" customWidth="1"/>
    <col min="27" max="27" width="11.25" style="4" customWidth="1"/>
    <col min="28" max="28" width="23.1583333333333" style="4" customWidth="1"/>
    <col min="29" max="29" width="30.25" style="4" customWidth="1"/>
    <col min="30" max="30" width="29.625" customWidth="1"/>
  </cols>
  <sheetData>
    <row r="1" s="1" customFormat="1" ht="21" spans="1:29">
      <c r="A1" s="6" t="s">
        <v>0</v>
      </c>
      <c r="B1" s="7" t="s">
        <v>1</v>
      </c>
      <c r="C1" s="7" t="s">
        <v>2</v>
      </c>
      <c r="D1" s="7" t="s">
        <v>3</v>
      </c>
      <c r="E1" s="8" t="s">
        <v>4</v>
      </c>
      <c r="F1" s="6" t="s">
        <v>5</v>
      </c>
      <c r="G1" s="6" t="s">
        <v>6</v>
      </c>
      <c r="H1" s="9" t="s">
        <v>7</v>
      </c>
      <c r="I1" s="6" t="s">
        <v>8</v>
      </c>
      <c r="J1" s="6" t="s">
        <v>9</v>
      </c>
      <c r="K1" s="6" t="s">
        <v>10</v>
      </c>
      <c r="L1" s="6" t="s">
        <v>11</v>
      </c>
      <c r="M1" s="6" t="s">
        <v>12</v>
      </c>
      <c r="N1" s="6" t="s">
        <v>13</v>
      </c>
      <c r="O1" s="6" t="s">
        <v>14</v>
      </c>
      <c r="P1" s="6" t="s">
        <v>15</v>
      </c>
      <c r="Q1" s="6" t="s">
        <v>16</v>
      </c>
      <c r="R1" s="6" t="s">
        <v>17</v>
      </c>
      <c r="S1" s="20" t="s">
        <v>18</v>
      </c>
      <c r="T1" s="21" t="s">
        <v>19</v>
      </c>
      <c r="U1" s="21" t="s">
        <v>20</v>
      </c>
      <c r="V1" s="22" t="s">
        <v>21</v>
      </c>
      <c r="W1" s="22" t="s">
        <v>22</v>
      </c>
      <c r="X1" s="7" t="s">
        <v>23</v>
      </c>
      <c r="Y1" s="7" t="s">
        <v>24</v>
      </c>
      <c r="Z1" s="7" t="s">
        <v>25</v>
      </c>
      <c r="AA1" s="27" t="s">
        <v>26</v>
      </c>
      <c r="AB1" s="27" t="s">
        <v>27</v>
      </c>
      <c r="AC1" s="27" t="s">
        <v>28</v>
      </c>
    </row>
    <row r="2" s="2" customFormat="1" ht="49.5" hidden="1" spans="1:29">
      <c r="A2" s="10" t="s">
        <v>1645</v>
      </c>
      <c r="B2" s="11" t="s">
        <v>1646</v>
      </c>
      <c r="C2" s="10" t="s">
        <v>1428</v>
      </c>
      <c r="D2" s="10" t="s">
        <v>1428</v>
      </c>
      <c r="E2" s="12"/>
      <c r="F2" s="13"/>
      <c r="G2" s="13"/>
      <c r="H2" s="14" t="s">
        <v>1428</v>
      </c>
      <c r="I2" s="10"/>
      <c r="J2" s="10"/>
      <c r="K2" s="10"/>
      <c r="L2" s="10"/>
      <c r="M2" s="10"/>
      <c r="N2" s="10"/>
      <c r="O2" s="10"/>
      <c r="P2" s="10"/>
      <c r="Q2" s="10"/>
      <c r="R2" s="10"/>
      <c r="S2" s="10" t="s">
        <v>1647</v>
      </c>
      <c r="T2" s="10" t="s">
        <v>32</v>
      </c>
      <c r="U2" s="10" t="s">
        <v>1647</v>
      </c>
      <c r="V2" s="10" t="s">
        <v>33</v>
      </c>
      <c r="W2" s="23"/>
      <c r="X2" s="10" t="s">
        <v>1647</v>
      </c>
      <c r="Y2" s="10" t="s">
        <v>32</v>
      </c>
      <c r="Z2" s="10"/>
      <c r="AA2" s="10" t="s">
        <v>34</v>
      </c>
      <c r="AB2" s="10" t="s">
        <v>1648</v>
      </c>
      <c r="AC2" s="10"/>
    </row>
    <row r="3" s="2" customFormat="1" ht="66" hidden="1" spans="1:29">
      <c r="A3" s="10" t="s">
        <v>1645</v>
      </c>
      <c r="B3" s="11" t="s">
        <v>1646</v>
      </c>
      <c r="C3" s="10" t="s">
        <v>1428</v>
      </c>
      <c r="D3" s="10" t="s">
        <v>1428</v>
      </c>
      <c r="E3" s="12"/>
      <c r="F3" s="13"/>
      <c r="G3" s="13"/>
      <c r="H3" s="15"/>
      <c r="I3" s="10"/>
      <c r="J3" s="10"/>
      <c r="K3" s="10"/>
      <c r="L3" s="10"/>
      <c r="M3" s="10"/>
      <c r="N3" s="10"/>
      <c r="O3" s="10"/>
      <c r="P3" s="10"/>
      <c r="Q3" s="10"/>
      <c r="R3" s="10"/>
      <c r="S3" s="10" t="s">
        <v>1649</v>
      </c>
      <c r="T3" s="10" t="s">
        <v>32</v>
      </c>
      <c r="U3" s="10" t="s">
        <v>1649</v>
      </c>
      <c r="V3" s="10" t="s">
        <v>33</v>
      </c>
      <c r="W3" s="23"/>
      <c r="X3" s="10" t="s">
        <v>1649</v>
      </c>
      <c r="Y3" s="10" t="s">
        <v>32</v>
      </c>
      <c r="Z3" s="10" t="str">
        <f>_xlfn.DISPIMG("ID_7A46CB4FD70D48DA99753B117AE7C792",1)</f>
        <v>=DISPIMG("ID_7A46CB4FD70D48DA99753B117AE7C792",1)</v>
      </c>
      <c r="AA3" s="10" t="s">
        <v>34</v>
      </c>
      <c r="AB3" s="10" t="s">
        <v>1650</v>
      </c>
      <c r="AC3" s="10"/>
    </row>
    <row r="4" s="2" customFormat="1" ht="66" hidden="1" spans="1:29">
      <c r="A4" s="10" t="s">
        <v>1645</v>
      </c>
      <c r="B4" s="11" t="s">
        <v>1646</v>
      </c>
      <c r="C4" s="10" t="s">
        <v>1428</v>
      </c>
      <c r="D4" s="10" t="s">
        <v>1428</v>
      </c>
      <c r="E4" s="12"/>
      <c r="F4" s="13"/>
      <c r="G4" s="13"/>
      <c r="H4" s="15"/>
      <c r="I4" s="10"/>
      <c r="J4" s="10"/>
      <c r="K4" s="10"/>
      <c r="L4" s="10"/>
      <c r="M4" s="10"/>
      <c r="N4" s="10"/>
      <c r="O4" s="10"/>
      <c r="P4" s="10"/>
      <c r="Q4" s="10"/>
      <c r="R4" s="10"/>
      <c r="S4" s="10" t="s">
        <v>1651</v>
      </c>
      <c r="T4" s="10" t="s">
        <v>32</v>
      </c>
      <c r="U4" s="10" t="s">
        <v>1651</v>
      </c>
      <c r="V4" s="10" t="s">
        <v>33</v>
      </c>
      <c r="W4" s="23"/>
      <c r="X4" s="10" t="s">
        <v>1651</v>
      </c>
      <c r="Y4" s="10" t="s">
        <v>32</v>
      </c>
      <c r="Z4" s="10" t="str">
        <f>_xlfn.DISPIMG("ID_7C02909993D8463C8C291730F8A026F3",1)</f>
        <v>=DISPIMG("ID_7C02909993D8463C8C291730F8A026F3",1)</v>
      </c>
      <c r="AA4" s="10" t="s">
        <v>34</v>
      </c>
      <c r="AB4" s="10" t="s">
        <v>1652</v>
      </c>
      <c r="AC4" s="10"/>
    </row>
    <row r="5" s="2" customFormat="1" ht="113.95" hidden="1" spans="1:29">
      <c r="A5" s="10" t="s">
        <v>1645</v>
      </c>
      <c r="B5" s="11" t="s">
        <v>1646</v>
      </c>
      <c r="C5" s="10" t="s">
        <v>1428</v>
      </c>
      <c r="D5" s="10" t="s">
        <v>1428</v>
      </c>
      <c r="E5" s="12"/>
      <c r="F5" s="13"/>
      <c r="G5" s="13"/>
      <c r="H5" s="16"/>
      <c r="I5" s="10"/>
      <c r="J5" s="10"/>
      <c r="K5" s="10"/>
      <c r="L5" s="10"/>
      <c r="M5" s="10"/>
      <c r="N5" s="10"/>
      <c r="O5" s="10"/>
      <c r="P5" s="10"/>
      <c r="Q5" s="10"/>
      <c r="R5" s="10"/>
      <c r="S5" s="10" t="s">
        <v>1653</v>
      </c>
      <c r="T5" s="10" t="s">
        <v>58</v>
      </c>
      <c r="U5" s="10" t="s">
        <v>1653</v>
      </c>
      <c r="V5" s="10" t="s">
        <v>33</v>
      </c>
      <c r="W5" s="23"/>
      <c r="X5" s="10" t="s">
        <v>1653</v>
      </c>
      <c r="Y5" s="10" t="s">
        <v>58</v>
      </c>
      <c r="Z5" s="10" t="str">
        <f>_xlfn.DISPIMG("ID_87A9B8012B814524B0C0108F94662A80",1)</f>
        <v>=DISPIMG("ID_87A9B8012B814524B0C0108F94662A80",1)</v>
      </c>
      <c r="AA5" s="10" t="s">
        <v>34</v>
      </c>
      <c r="AB5" s="10" t="s">
        <v>1654</v>
      </c>
      <c r="AC5" s="10"/>
    </row>
    <row r="6" s="2" customFormat="1" ht="66" hidden="1" spans="1:29">
      <c r="A6" s="10" t="s">
        <v>1645</v>
      </c>
      <c r="B6" s="11" t="s">
        <v>1646</v>
      </c>
      <c r="C6" s="10" t="s">
        <v>1655</v>
      </c>
      <c r="D6" s="10" t="s">
        <v>1655</v>
      </c>
      <c r="E6" s="12"/>
      <c r="F6" s="13"/>
      <c r="G6" s="13"/>
      <c r="H6" s="14" t="s">
        <v>1655</v>
      </c>
      <c r="I6" s="10"/>
      <c r="J6" s="10"/>
      <c r="K6" s="10"/>
      <c r="L6" s="10"/>
      <c r="M6" s="10"/>
      <c r="N6" s="10"/>
      <c r="O6" s="10"/>
      <c r="P6" s="10"/>
      <c r="Q6" s="10"/>
      <c r="R6" s="10"/>
      <c r="S6" s="10" t="s">
        <v>1656</v>
      </c>
      <c r="T6" s="10" t="s">
        <v>68</v>
      </c>
      <c r="U6" s="24" t="s">
        <v>1625</v>
      </c>
      <c r="V6" s="10" t="s">
        <v>33</v>
      </c>
      <c r="W6" s="23"/>
      <c r="X6" s="10" t="s">
        <v>1656</v>
      </c>
      <c r="Y6" s="10" t="s">
        <v>68</v>
      </c>
      <c r="Z6" s="10"/>
      <c r="AA6" s="10" t="s">
        <v>34</v>
      </c>
      <c r="AB6" s="10" t="s">
        <v>1657</v>
      </c>
      <c r="AC6" s="10"/>
    </row>
    <row r="7" s="2" customFormat="1" ht="66" hidden="1" spans="1:29">
      <c r="A7" s="10" t="s">
        <v>1645</v>
      </c>
      <c r="B7" s="11" t="s">
        <v>1646</v>
      </c>
      <c r="C7" s="10" t="s">
        <v>1655</v>
      </c>
      <c r="D7" s="10" t="s">
        <v>1655</v>
      </c>
      <c r="E7" s="12"/>
      <c r="F7" s="13"/>
      <c r="G7" s="13"/>
      <c r="H7" s="15"/>
      <c r="I7" s="10"/>
      <c r="J7" s="10"/>
      <c r="K7" s="10"/>
      <c r="L7" s="10"/>
      <c r="M7" s="10"/>
      <c r="N7" s="10"/>
      <c r="O7" s="10"/>
      <c r="P7" s="10"/>
      <c r="Q7" s="10"/>
      <c r="R7" s="10"/>
      <c r="S7" s="10" t="s">
        <v>1658</v>
      </c>
      <c r="T7" s="10" t="s">
        <v>68</v>
      </c>
      <c r="U7" s="24" t="s">
        <v>1659</v>
      </c>
      <c r="V7" s="10" t="s">
        <v>33</v>
      </c>
      <c r="W7" s="23"/>
      <c r="X7" s="10" t="s">
        <v>1658</v>
      </c>
      <c r="Y7" s="10" t="s">
        <v>68</v>
      </c>
      <c r="Z7" s="10" t="str">
        <f>_xlfn.DISPIMG("ID_EACD59F7526D44A28BD4355429622C52",1)</f>
        <v>=DISPIMG("ID_EACD59F7526D44A28BD4355429622C52",1)</v>
      </c>
      <c r="AA7" s="10" t="s">
        <v>34</v>
      </c>
      <c r="AB7" s="10" t="s">
        <v>1660</v>
      </c>
      <c r="AC7" s="10"/>
    </row>
    <row r="8" s="2" customFormat="1" ht="66" hidden="1" spans="1:29">
      <c r="A8" s="10" t="s">
        <v>1645</v>
      </c>
      <c r="B8" s="11" t="s">
        <v>1646</v>
      </c>
      <c r="C8" s="10" t="s">
        <v>1655</v>
      </c>
      <c r="D8" s="10" t="s">
        <v>1655</v>
      </c>
      <c r="E8" s="12"/>
      <c r="F8" s="13"/>
      <c r="G8" s="13"/>
      <c r="H8" s="15"/>
      <c r="I8" s="10"/>
      <c r="J8" s="10"/>
      <c r="K8" s="10"/>
      <c r="L8" s="10"/>
      <c r="M8" s="10"/>
      <c r="N8" s="10"/>
      <c r="O8" s="10"/>
      <c r="P8" s="10"/>
      <c r="Q8" s="10"/>
      <c r="R8" s="10"/>
      <c r="S8" s="10" t="s">
        <v>1661</v>
      </c>
      <c r="T8" s="10" t="s">
        <v>68</v>
      </c>
      <c r="U8" s="24" t="s">
        <v>1662</v>
      </c>
      <c r="V8" s="10" t="s">
        <v>33</v>
      </c>
      <c r="W8" s="23"/>
      <c r="X8" s="10" t="s">
        <v>1661</v>
      </c>
      <c r="Y8" s="10" t="s">
        <v>68</v>
      </c>
      <c r="Z8" s="10" t="str">
        <f>_xlfn.DISPIMG("ID_9C65ABD256014B218AE9F75A57A54D86",1)</f>
        <v>=DISPIMG("ID_9C65ABD256014B218AE9F75A57A54D86",1)</v>
      </c>
      <c r="AA8" s="10" t="s">
        <v>34</v>
      </c>
      <c r="AB8" s="10" t="s">
        <v>1663</v>
      </c>
      <c r="AC8" s="10"/>
    </row>
    <row r="9" s="2" customFormat="1" ht="66" hidden="1" spans="1:29">
      <c r="A9" s="10" t="s">
        <v>1645</v>
      </c>
      <c r="B9" s="11" t="s">
        <v>1646</v>
      </c>
      <c r="C9" s="10" t="s">
        <v>1655</v>
      </c>
      <c r="D9" s="10" t="s">
        <v>1655</v>
      </c>
      <c r="E9" s="12"/>
      <c r="F9" s="13"/>
      <c r="G9" s="13"/>
      <c r="H9" s="15"/>
      <c r="I9" s="10"/>
      <c r="J9" s="10"/>
      <c r="K9" s="10"/>
      <c r="L9" s="10"/>
      <c r="M9" s="10"/>
      <c r="N9" s="10"/>
      <c r="O9" s="10"/>
      <c r="P9" s="10"/>
      <c r="Q9" s="10"/>
      <c r="R9" s="10"/>
      <c r="S9" s="10" t="s">
        <v>1664</v>
      </c>
      <c r="T9" s="10" t="s">
        <v>68</v>
      </c>
      <c r="U9" s="24" t="s">
        <v>1665</v>
      </c>
      <c r="V9" s="10" t="s">
        <v>33</v>
      </c>
      <c r="W9" s="23"/>
      <c r="X9" s="10" t="s">
        <v>1664</v>
      </c>
      <c r="Y9" s="10" t="s">
        <v>68</v>
      </c>
      <c r="Z9" s="10" t="str">
        <f>_xlfn.DISPIMG("ID_778DEADE7ADC42E2B2A709B49CF0682C",1)</f>
        <v>=DISPIMG("ID_778DEADE7ADC42E2B2A709B49CF0682C",1)</v>
      </c>
      <c r="AA9" s="10" t="s">
        <v>34</v>
      </c>
      <c r="AB9" s="10" t="s">
        <v>1666</v>
      </c>
      <c r="AC9" s="10"/>
    </row>
    <row r="10" s="2" customFormat="1" ht="66" hidden="1" spans="1:29">
      <c r="A10" s="10" t="s">
        <v>1645</v>
      </c>
      <c r="B10" s="11" t="s">
        <v>1646</v>
      </c>
      <c r="C10" s="10" t="s">
        <v>1655</v>
      </c>
      <c r="D10" s="10" t="s">
        <v>1655</v>
      </c>
      <c r="E10" s="12"/>
      <c r="F10" s="13"/>
      <c r="G10" s="13"/>
      <c r="H10" s="15"/>
      <c r="I10" s="10"/>
      <c r="J10" s="10"/>
      <c r="K10" s="10"/>
      <c r="L10" s="10"/>
      <c r="M10" s="10"/>
      <c r="N10" s="10"/>
      <c r="O10" s="10"/>
      <c r="P10" s="10"/>
      <c r="Q10" s="10"/>
      <c r="R10" s="10"/>
      <c r="S10" s="10" t="s">
        <v>1667</v>
      </c>
      <c r="T10" s="10" t="s">
        <v>68</v>
      </c>
      <c r="U10" s="24" t="s">
        <v>1665</v>
      </c>
      <c r="V10" s="10" t="s">
        <v>33</v>
      </c>
      <c r="W10" s="23"/>
      <c r="X10" s="10" t="s">
        <v>1667</v>
      </c>
      <c r="Y10" s="10" t="s">
        <v>68</v>
      </c>
      <c r="Z10" s="10" t="str">
        <f>_xlfn.DISPIMG("ID_8DC20D78B5F0411E886FB9E01F987695",1)</f>
        <v>=DISPIMG("ID_8DC20D78B5F0411E886FB9E01F987695",1)</v>
      </c>
      <c r="AA10" s="10" t="s">
        <v>34</v>
      </c>
      <c r="AB10" s="10" t="s">
        <v>1668</v>
      </c>
      <c r="AC10" s="10"/>
    </row>
    <row r="11" s="2" customFormat="1" ht="66" hidden="1" spans="1:29">
      <c r="A11" s="10" t="s">
        <v>1645</v>
      </c>
      <c r="B11" s="11" t="s">
        <v>1646</v>
      </c>
      <c r="C11" s="10" t="s">
        <v>1655</v>
      </c>
      <c r="D11" s="10" t="s">
        <v>1655</v>
      </c>
      <c r="E11" s="12"/>
      <c r="F11" s="13"/>
      <c r="G11" s="13"/>
      <c r="H11" s="15"/>
      <c r="I11" s="10"/>
      <c r="J11" s="10"/>
      <c r="K11" s="10"/>
      <c r="L11" s="10"/>
      <c r="M11" s="10"/>
      <c r="N11" s="10"/>
      <c r="O11" s="10"/>
      <c r="P11" s="10"/>
      <c r="Q11" s="10"/>
      <c r="R11" s="10"/>
      <c r="S11" s="10" t="s">
        <v>1669</v>
      </c>
      <c r="T11" s="10" t="s">
        <v>68</v>
      </c>
      <c r="U11" s="24" t="s">
        <v>1665</v>
      </c>
      <c r="V11" s="10" t="s">
        <v>33</v>
      </c>
      <c r="W11" s="23"/>
      <c r="X11" s="10" t="s">
        <v>1669</v>
      </c>
      <c r="Y11" s="10" t="s">
        <v>68</v>
      </c>
      <c r="Z11" s="10" t="str">
        <f>_xlfn.DISPIMG("ID_64CF850183D74624BB59A51CF7CE6D9A",1)</f>
        <v>=DISPIMG("ID_64CF850183D74624BB59A51CF7CE6D9A",1)</v>
      </c>
      <c r="AA11" s="10" t="s">
        <v>34</v>
      </c>
      <c r="AB11" s="10" t="s">
        <v>1670</v>
      </c>
      <c r="AC11" s="10"/>
    </row>
    <row r="12" s="2" customFormat="1" ht="66" hidden="1" spans="1:29">
      <c r="A12" s="10" t="s">
        <v>1645</v>
      </c>
      <c r="B12" s="11" t="s">
        <v>1646</v>
      </c>
      <c r="C12" s="10" t="s">
        <v>1655</v>
      </c>
      <c r="D12" s="10" t="s">
        <v>1655</v>
      </c>
      <c r="E12" s="12"/>
      <c r="F12" s="13"/>
      <c r="G12" s="13"/>
      <c r="H12" s="15"/>
      <c r="I12" s="10"/>
      <c r="J12" s="10"/>
      <c r="K12" s="10"/>
      <c r="L12" s="10"/>
      <c r="M12" s="10"/>
      <c r="N12" s="10"/>
      <c r="O12" s="10"/>
      <c r="P12" s="10"/>
      <c r="Q12" s="10"/>
      <c r="R12" s="10"/>
      <c r="S12" s="10" t="s">
        <v>1671</v>
      </c>
      <c r="T12" s="10" t="s">
        <v>68</v>
      </c>
      <c r="U12" s="24" t="s">
        <v>1665</v>
      </c>
      <c r="V12" s="10" t="s">
        <v>33</v>
      </c>
      <c r="W12" s="23"/>
      <c r="X12" s="10" t="s">
        <v>1671</v>
      </c>
      <c r="Y12" s="10" t="s">
        <v>68</v>
      </c>
      <c r="Z12" s="10" t="str">
        <f>_xlfn.DISPIMG("ID_6BF4A1B6CF264F4CB2B75465DDE0CB5A",1)</f>
        <v>=DISPIMG("ID_6BF4A1B6CF264F4CB2B75465DDE0CB5A",1)</v>
      </c>
      <c r="AA12" s="10" t="s">
        <v>34</v>
      </c>
      <c r="AB12" s="10" t="s">
        <v>1672</v>
      </c>
      <c r="AC12" s="10"/>
    </row>
    <row r="13" s="2" customFormat="1" ht="82.5" hidden="1" spans="1:29">
      <c r="A13" s="10" t="s">
        <v>1645</v>
      </c>
      <c r="B13" s="11" t="s">
        <v>1646</v>
      </c>
      <c r="C13" s="10" t="s">
        <v>1655</v>
      </c>
      <c r="D13" s="10" t="s">
        <v>1655</v>
      </c>
      <c r="E13" s="12"/>
      <c r="F13" s="13"/>
      <c r="G13" s="13"/>
      <c r="H13" s="15"/>
      <c r="I13" s="10"/>
      <c r="J13" s="10"/>
      <c r="K13" s="10"/>
      <c r="L13" s="10"/>
      <c r="M13" s="10"/>
      <c r="N13" s="10"/>
      <c r="O13" s="10"/>
      <c r="P13" s="10"/>
      <c r="Q13" s="10"/>
      <c r="R13" s="10"/>
      <c r="S13" s="10" t="s">
        <v>1673</v>
      </c>
      <c r="T13" s="10" t="s">
        <v>68</v>
      </c>
      <c r="U13" s="24" t="s">
        <v>1674</v>
      </c>
      <c r="V13" s="10" t="s">
        <v>33</v>
      </c>
      <c r="W13" s="23"/>
      <c r="X13" s="10" t="s">
        <v>1673</v>
      </c>
      <c r="Y13" s="10" t="s">
        <v>68</v>
      </c>
      <c r="Z13" s="10" t="str">
        <f>_xlfn.DISPIMG("ID_45C38D949E30448E9469BC1B770DE87C",1)</f>
        <v>=DISPIMG("ID_45C38D949E30448E9469BC1B770DE87C",1)</v>
      </c>
      <c r="AA13" s="10" t="s">
        <v>34</v>
      </c>
      <c r="AB13" s="10" t="s">
        <v>1675</v>
      </c>
      <c r="AC13" s="10"/>
    </row>
    <row r="14" s="2" customFormat="1" ht="66" hidden="1" spans="1:29">
      <c r="A14" s="10" t="s">
        <v>1645</v>
      </c>
      <c r="B14" s="11" t="s">
        <v>1646</v>
      </c>
      <c r="C14" s="10" t="s">
        <v>1655</v>
      </c>
      <c r="D14" s="10" t="s">
        <v>1655</v>
      </c>
      <c r="E14" s="12"/>
      <c r="F14" s="13"/>
      <c r="G14" s="13"/>
      <c r="H14" s="15"/>
      <c r="I14" s="10"/>
      <c r="J14" s="10"/>
      <c r="K14" s="10"/>
      <c r="L14" s="10"/>
      <c r="M14" s="10"/>
      <c r="N14" s="10"/>
      <c r="O14" s="10"/>
      <c r="P14" s="10"/>
      <c r="Q14" s="10"/>
      <c r="R14" s="10"/>
      <c r="S14" s="10" t="s">
        <v>1676</v>
      </c>
      <c r="T14" s="10" t="s">
        <v>32</v>
      </c>
      <c r="U14" s="10" t="s">
        <v>1676</v>
      </c>
      <c r="V14" s="10" t="s">
        <v>33</v>
      </c>
      <c r="W14" s="23"/>
      <c r="X14" s="10" t="s">
        <v>1676</v>
      </c>
      <c r="Y14" s="10" t="s">
        <v>32</v>
      </c>
      <c r="Z14" s="10" t="str">
        <f>_xlfn.DISPIMG("ID_BC2BDD96610A4614B4379B3866B7A4FB",1)</f>
        <v>=DISPIMG("ID_BC2BDD96610A4614B4379B3866B7A4FB",1)</v>
      </c>
      <c r="AA14" s="10" t="s">
        <v>34</v>
      </c>
      <c r="AB14" s="10" t="s">
        <v>1677</v>
      </c>
      <c r="AC14" s="10"/>
    </row>
    <row r="15" s="2" customFormat="1" ht="82.5" hidden="1" spans="1:29">
      <c r="A15" s="10" t="s">
        <v>1645</v>
      </c>
      <c r="B15" s="11" t="s">
        <v>1646</v>
      </c>
      <c r="C15" s="10" t="s">
        <v>1655</v>
      </c>
      <c r="D15" s="10" t="s">
        <v>1655</v>
      </c>
      <c r="E15" s="12"/>
      <c r="F15" s="13"/>
      <c r="G15" s="13"/>
      <c r="H15" s="15"/>
      <c r="I15" s="10"/>
      <c r="J15" s="10"/>
      <c r="K15" s="10"/>
      <c r="L15" s="10"/>
      <c r="M15" s="10"/>
      <c r="N15" s="10"/>
      <c r="O15" s="10"/>
      <c r="P15" s="10"/>
      <c r="Q15" s="10"/>
      <c r="R15" s="10"/>
      <c r="S15" s="10" t="s">
        <v>1678</v>
      </c>
      <c r="T15" s="10" t="s">
        <v>32</v>
      </c>
      <c r="U15" s="10" t="s">
        <v>1678</v>
      </c>
      <c r="V15" s="10" t="s">
        <v>33</v>
      </c>
      <c r="W15" s="23"/>
      <c r="X15" s="10" t="s">
        <v>1678</v>
      </c>
      <c r="Y15" s="10" t="s">
        <v>32</v>
      </c>
      <c r="Z15" s="10" t="str">
        <f>_xlfn.DISPIMG("ID_AE2AADC1DA0D4938B5165DB4006381C5",1)</f>
        <v>=DISPIMG("ID_AE2AADC1DA0D4938B5165DB4006381C5",1)</v>
      </c>
      <c r="AA15" s="10" t="s">
        <v>34</v>
      </c>
      <c r="AB15" s="10" t="s">
        <v>1679</v>
      </c>
      <c r="AC15" s="10"/>
    </row>
    <row r="16" s="2" customFormat="1" ht="66" hidden="1" spans="1:29">
      <c r="A16" s="10" t="s">
        <v>1645</v>
      </c>
      <c r="B16" s="11" t="s">
        <v>1646</v>
      </c>
      <c r="C16" s="10" t="s">
        <v>1655</v>
      </c>
      <c r="D16" s="10" t="s">
        <v>1655</v>
      </c>
      <c r="E16" s="12"/>
      <c r="F16" s="13"/>
      <c r="G16" s="13"/>
      <c r="H16" s="16"/>
      <c r="I16" s="10"/>
      <c r="J16" s="10"/>
      <c r="K16" s="10"/>
      <c r="L16" s="10"/>
      <c r="M16" s="10"/>
      <c r="N16" s="10"/>
      <c r="O16" s="10"/>
      <c r="P16" s="10"/>
      <c r="Q16" s="10"/>
      <c r="R16" s="10"/>
      <c r="S16" s="10" t="s">
        <v>1680</v>
      </c>
      <c r="T16" s="10" t="s">
        <v>68</v>
      </c>
      <c r="U16" s="24" t="s">
        <v>1681</v>
      </c>
      <c r="V16" s="10" t="s">
        <v>33</v>
      </c>
      <c r="W16" s="23"/>
      <c r="X16" s="10" t="s">
        <v>1680</v>
      </c>
      <c r="Y16" s="10" t="s">
        <v>68</v>
      </c>
      <c r="Z16" s="10" t="str">
        <f>_xlfn.DISPIMG("ID_47FC3F74998740B19997553D6A4D7146",1)</f>
        <v>=DISPIMG("ID_47FC3F74998740B19997553D6A4D7146",1)</v>
      </c>
      <c r="AA16" s="10" t="s">
        <v>34</v>
      </c>
      <c r="AB16" s="10" t="s">
        <v>1682</v>
      </c>
      <c r="AC16" s="10"/>
    </row>
    <row r="17" s="2" customFormat="1" ht="66" hidden="1" spans="1:29">
      <c r="A17" s="10" t="s">
        <v>1645</v>
      </c>
      <c r="B17" s="11" t="s">
        <v>1683</v>
      </c>
      <c r="C17" s="10" t="s">
        <v>1684</v>
      </c>
      <c r="D17" s="10" t="s">
        <v>1684</v>
      </c>
      <c r="E17" s="12"/>
      <c r="F17" s="13"/>
      <c r="G17" s="13"/>
      <c r="H17" s="10" t="s">
        <v>1684</v>
      </c>
      <c r="I17" s="10"/>
      <c r="J17" s="10"/>
      <c r="K17" s="10"/>
      <c r="L17" s="10"/>
      <c r="M17" s="10"/>
      <c r="N17" s="10"/>
      <c r="O17" s="10"/>
      <c r="P17" s="10"/>
      <c r="Q17" s="10"/>
      <c r="R17" s="10"/>
      <c r="S17" s="10" t="s">
        <v>1685</v>
      </c>
      <c r="T17" s="10" t="s">
        <v>68</v>
      </c>
      <c r="U17" s="24" t="s">
        <v>1686</v>
      </c>
      <c r="V17" s="10" t="s">
        <v>33</v>
      </c>
      <c r="W17" s="23"/>
      <c r="X17" s="10" t="s">
        <v>1685</v>
      </c>
      <c r="Y17" s="10" t="s">
        <v>68</v>
      </c>
      <c r="Z17" s="10" t="str">
        <f>_xlfn.DISPIMG("ID_BED0F2E7E81A4DFA8920843A5A1DFFCA",1)</f>
        <v>=DISPIMG("ID_BED0F2E7E81A4DFA8920843A5A1DFFCA",1)</v>
      </c>
      <c r="AA17" s="10" t="s">
        <v>34</v>
      </c>
      <c r="AB17" s="10" t="s">
        <v>1682</v>
      </c>
      <c r="AC17" s="10"/>
    </row>
    <row r="18" s="2" customFormat="1" ht="85.5" hidden="1" spans="1:29">
      <c r="A18" s="10" t="s">
        <v>1645</v>
      </c>
      <c r="B18" s="11" t="s">
        <v>1683</v>
      </c>
      <c r="C18" s="10" t="s">
        <v>1687</v>
      </c>
      <c r="D18" s="10" t="s">
        <v>1687</v>
      </c>
      <c r="E18" s="12"/>
      <c r="F18" s="13"/>
      <c r="G18" s="13"/>
      <c r="H18" s="10" t="s">
        <v>1687</v>
      </c>
      <c r="I18" s="10"/>
      <c r="J18" s="10"/>
      <c r="K18" s="10"/>
      <c r="L18" s="10"/>
      <c r="M18" s="10"/>
      <c r="N18" s="10"/>
      <c r="O18" s="10"/>
      <c r="P18" s="10"/>
      <c r="Q18" s="10"/>
      <c r="R18" s="10"/>
      <c r="S18" s="10" t="s">
        <v>1688</v>
      </c>
      <c r="T18" s="10" t="s">
        <v>68</v>
      </c>
      <c r="U18" s="24" t="s">
        <v>1689</v>
      </c>
      <c r="V18" s="10" t="s">
        <v>33</v>
      </c>
      <c r="W18" s="23"/>
      <c r="X18" s="10" t="s">
        <v>1688</v>
      </c>
      <c r="Y18" s="10" t="s">
        <v>68</v>
      </c>
      <c r="Z18" s="10" t="str">
        <f>_xlfn.DISPIMG("ID_9D296DC028D7433F9E234103DE88599C",1)</f>
        <v>=DISPIMG("ID_9D296DC028D7433F9E234103DE88599C",1)</v>
      </c>
      <c r="AA18" s="10" t="s">
        <v>34</v>
      </c>
      <c r="AB18" s="10" t="s">
        <v>1682</v>
      </c>
      <c r="AC18" s="10"/>
    </row>
    <row r="19" s="2" customFormat="1" ht="49.5" hidden="1" spans="1:29">
      <c r="A19" s="10" t="s">
        <v>1645</v>
      </c>
      <c r="B19" s="11" t="s">
        <v>1690</v>
      </c>
      <c r="C19" s="10" t="s">
        <v>1618</v>
      </c>
      <c r="D19" s="10" t="s">
        <v>1618</v>
      </c>
      <c r="E19" s="12"/>
      <c r="F19" s="13"/>
      <c r="G19" s="13"/>
      <c r="H19" s="14" t="s">
        <v>1618</v>
      </c>
      <c r="I19" s="10"/>
      <c r="J19" s="10"/>
      <c r="K19" s="10"/>
      <c r="L19" s="10"/>
      <c r="M19" s="10"/>
      <c r="N19" s="10"/>
      <c r="O19" s="10"/>
      <c r="P19" s="10"/>
      <c r="Q19" s="10"/>
      <c r="R19" s="10"/>
      <c r="S19" s="10" t="s">
        <v>1618</v>
      </c>
      <c r="T19" s="10" t="s">
        <v>32</v>
      </c>
      <c r="U19" s="10" t="s">
        <v>1618</v>
      </c>
      <c r="V19" s="10" t="s">
        <v>33</v>
      </c>
      <c r="W19" s="23"/>
      <c r="X19" s="10" t="s">
        <v>1618</v>
      </c>
      <c r="Y19" s="10" t="s">
        <v>32</v>
      </c>
      <c r="Z19" s="10"/>
      <c r="AA19" s="10" t="s">
        <v>34</v>
      </c>
      <c r="AB19" s="10" t="s">
        <v>1691</v>
      </c>
      <c r="AC19" s="10"/>
    </row>
    <row r="20" s="2" customFormat="1" ht="72" hidden="1" spans="1:29">
      <c r="A20" s="10" t="s">
        <v>1645</v>
      </c>
      <c r="B20" s="11" t="s">
        <v>1690</v>
      </c>
      <c r="C20" s="10" t="s">
        <v>1618</v>
      </c>
      <c r="D20" s="10" t="s">
        <v>1618</v>
      </c>
      <c r="E20" s="12"/>
      <c r="F20" s="13"/>
      <c r="G20" s="13"/>
      <c r="H20" s="15"/>
      <c r="I20" s="10"/>
      <c r="J20" s="10"/>
      <c r="K20" s="10"/>
      <c r="L20" s="10"/>
      <c r="M20" s="10"/>
      <c r="N20" s="10"/>
      <c r="O20" s="10"/>
      <c r="P20" s="10"/>
      <c r="Q20" s="10"/>
      <c r="R20" s="10"/>
      <c r="S20" s="10" t="s">
        <v>1692</v>
      </c>
      <c r="T20" s="10" t="s">
        <v>68</v>
      </c>
      <c r="U20" s="25" t="s">
        <v>1693</v>
      </c>
      <c r="V20" s="10" t="s">
        <v>33</v>
      </c>
      <c r="W20" s="23"/>
      <c r="X20" s="10" t="s">
        <v>1692</v>
      </c>
      <c r="Y20" s="10" t="s">
        <v>68</v>
      </c>
      <c r="Z20" s="10" t="str">
        <f>_xlfn.DISPIMG("ID_1FE3B3B77FA14ABE97510935C9F71C9E",1)</f>
        <v>=DISPIMG("ID_1FE3B3B77FA14ABE97510935C9F71C9E",1)</v>
      </c>
      <c r="AA20" s="10" t="s">
        <v>34</v>
      </c>
      <c r="AB20" s="10" t="s">
        <v>1694</v>
      </c>
      <c r="AC20" s="10"/>
    </row>
    <row r="21" s="2" customFormat="1" ht="82.5" hidden="1" spans="1:29">
      <c r="A21" s="10" t="s">
        <v>1645</v>
      </c>
      <c r="B21" s="11" t="s">
        <v>1690</v>
      </c>
      <c r="C21" s="10" t="s">
        <v>1618</v>
      </c>
      <c r="D21" s="10" t="s">
        <v>1618</v>
      </c>
      <c r="E21" s="12"/>
      <c r="F21" s="13"/>
      <c r="G21" s="13"/>
      <c r="H21" s="15"/>
      <c r="I21" s="10"/>
      <c r="J21" s="10"/>
      <c r="K21" s="10"/>
      <c r="L21" s="10"/>
      <c r="M21" s="10"/>
      <c r="N21" s="10"/>
      <c r="O21" s="10"/>
      <c r="P21" s="10"/>
      <c r="Q21" s="10"/>
      <c r="R21" s="10"/>
      <c r="S21" s="10" t="s">
        <v>1695</v>
      </c>
      <c r="T21" s="10" t="s">
        <v>68</v>
      </c>
      <c r="U21" s="25" t="s">
        <v>1693</v>
      </c>
      <c r="V21" s="10" t="s">
        <v>33</v>
      </c>
      <c r="W21" s="23"/>
      <c r="X21" s="10" t="s">
        <v>1695</v>
      </c>
      <c r="Y21" s="10" t="s">
        <v>68</v>
      </c>
      <c r="Z21" s="10" t="str">
        <f>_xlfn.DISPIMG("ID_FAA707D825064627863D9F2437137CD0",1)</f>
        <v>=DISPIMG("ID_FAA707D825064627863D9F2437137CD0",1)</v>
      </c>
      <c r="AA21" s="10" t="s">
        <v>34</v>
      </c>
      <c r="AB21" s="10" t="s">
        <v>1696</v>
      </c>
      <c r="AC21" s="10"/>
    </row>
    <row r="22" s="2" customFormat="1" ht="115.2" hidden="1" spans="1:29">
      <c r="A22" s="10" t="s">
        <v>1645</v>
      </c>
      <c r="B22" s="11" t="s">
        <v>1690</v>
      </c>
      <c r="C22" s="10" t="s">
        <v>1618</v>
      </c>
      <c r="D22" s="10" t="s">
        <v>1618</v>
      </c>
      <c r="E22" s="12"/>
      <c r="F22" s="13"/>
      <c r="G22" s="13"/>
      <c r="H22" s="16"/>
      <c r="I22" s="10"/>
      <c r="J22" s="10"/>
      <c r="K22" s="10"/>
      <c r="L22" s="10"/>
      <c r="M22" s="10"/>
      <c r="N22" s="10"/>
      <c r="O22" s="10"/>
      <c r="P22" s="10"/>
      <c r="Q22" s="10"/>
      <c r="R22" s="10"/>
      <c r="S22" s="10" t="s">
        <v>1697</v>
      </c>
      <c r="T22" s="10" t="s">
        <v>68</v>
      </c>
      <c r="U22" s="25" t="s">
        <v>1698</v>
      </c>
      <c r="V22" s="10" t="s">
        <v>33</v>
      </c>
      <c r="W22" s="23"/>
      <c r="X22" s="10" t="s">
        <v>1697</v>
      </c>
      <c r="Y22" s="10" t="s">
        <v>68</v>
      </c>
      <c r="Z22" s="10" t="str">
        <f>_xlfn.DISPIMG("ID_32BB498E60D9428A8DDB03EB4BCBBAD9",1)</f>
        <v>=DISPIMG("ID_32BB498E60D9428A8DDB03EB4BCBBAD9",1)</v>
      </c>
      <c r="AA22" s="10" t="s">
        <v>34</v>
      </c>
      <c r="AB22" s="10" t="s">
        <v>1699</v>
      </c>
      <c r="AC22" s="10"/>
    </row>
    <row r="23" s="2" customFormat="1" ht="66" hidden="1" spans="1:29">
      <c r="A23" s="10" t="s">
        <v>1645</v>
      </c>
      <c r="B23" s="11" t="s">
        <v>1690</v>
      </c>
      <c r="C23" s="10" t="s">
        <v>1700</v>
      </c>
      <c r="D23" s="10" t="s">
        <v>1700</v>
      </c>
      <c r="E23" s="12"/>
      <c r="F23" s="13"/>
      <c r="G23" s="13"/>
      <c r="H23" s="14" t="s">
        <v>1700</v>
      </c>
      <c r="I23" s="10"/>
      <c r="J23" s="10"/>
      <c r="K23" s="10"/>
      <c r="L23" s="10"/>
      <c r="M23" s="10"/>
      <c r="N23" s="10"/>
      <c r="O23" s="10"/>
      <c r="P23" s="10"/>
      <c r="Q23" s="10"/>
      <c r="R23" s="10"/>
      <c r="S23" s="10" t="s">
        <v>1701</v>
      </c>
      <c r="T23" s="10" t="s">
        <v>68</v>
      </c>
      <c r="U23" s="25" t="s">
        <v>1702</v>
      </c>
      <c r="V23" s="10" t="s">
        <v>1461</v>
      </c>
      <c r="W23" s="23"/>
      <c r="X23" s="10" t="s">
        <v>1701</v>
      </c>
      <c r="Y23" s="10" t="s">
        <v>68</v>
      </c>
      <c r="Z23" s="10" t="str">
        <f>_xlfn.DISPIMG("ID_C65C7B6080D44E7786E86E3FAC3DC22D",1)</f>
        <v>=DISPIMG("ID_C65C7B6080D44E7786E86E3FAC3DC22D",1)</v>
      </c>
      <c r="AA23" s="10" t="s">
        <v>34</v>
      </c>
      <c r="AB23" s="10" t="s">
        <v>1703</v>
      </c>
      <c r="AC23" s="10"/>
    </row>
    <row r="24" s="2" customFormat="1" ht="66" hidden="1" spans="1:29">
      <c r="A24" s="10" t="s">
        <v>1645</v>
      </c>
      <c r="B24" s="11" t="s">
        <v>1690</v>
      </c>
      <c r="C24" s="10" t="s">
        <v>1700</v>
      </c>
      <c r="D24" s="10" t="s">
        <v>1700</v>
      </c>
      <c r="E24" s="12"/>
      <c r="F24" s="13"/>
      <c r="G24" s="13"/>
      <c r="H24" s="15"/>
      <c r="I24" s="10"/>
      <c r="J24" s="10"/>
      <c r="K24" s="10"/>
      <c r="L24" s="10"/>
      <c r="M24" s="10"/>
      <c r="N24" s="10"/>
      <c r="O24" s="10"/>
      <c r="P24" s="10"/>
      <c r="Q24" s="10"/>
      <c r="R24" s="10"/>
      <c r="S24" s="10" t="s">
        <v>1704</v>
      </c>
      <c r="T24" s="10" t="s">
        <v>68</v>
      </c>
      <c r="U24" s="25" t="s">
        <v>1705</v>
      </c>
      <c r="V24" s="10" t="s">
        <v>1461</v>
      </c>
      <c r="W24" s="23"/>
      <c r="X24" s="10" t="s">
        <v>1704</v>
      </c>
      <c r="Y24" s="10" t="s">
        <v>68</v>
      </c>
      <c r="Z24" s="10" t="str">
        <f>_xlfn.DISPIMG("ID_7F4AF9CF7AA74F3185DDE511FFF7D0DE",1)</f>
        <v>=DISPIMG("ID_7F4AF9CF7AA74F3185DDE511FFF7D0DE",1)</v>
      </c>
      <c r="AA24" s="10" t="s">
        <v>34</v>
      </c>
      <c r="AB24" s="10" t="s">
        <v>1706</v>
      </c>
      <c r="AC24" s="10"/>
    </row>
    <row r="25" s="2" customFormat="1" ht="66" hidden="1" spans="1:29">
      <c r="A25" s="10" t="s">
        <v>1645</v>
      </c>
      <c r="B25" s="11" t="s">
        <v>1690</v>
      </c>
      <c r="C25" s="10" t="s">
        <v>1700</v>
      </c>
      <c r="D25" s="10" t="s">
        <v>1700</v>
      </c>
      <c r="E25" s="12"/>
      <c r="F25" s="13"/>
      <c r="G25" s="13"/>
      <c r="H25" s="15"/>
      <c r="I25" s="10"/>
      <c r="J25" s="10"/>
      <c r="K25" s="10"/>
      <c r="L25" s="10"/>
      <c r="M25" s="10"/>
      <c r="N25" s="10"/>
      <c r="O25" s="10"/>
      <c r="P25" s="10"/>
      <c r="Q25" s="10"/>
      <c r="R25" s="10"/>
      <c r="S25" s="10" t="s">
        <v>1707</v>
      </c>
      <c r="T25" s="10" t="s">
        <v>68</v>
      </c>
      <c r="U25" s="25" t="s">
        <v>1708</v>
      </c>
      <c r="V25" s="10" t="s">
        <v>1461</v>
      </c>
      <c r="W25" s="23"/>
      <c r="X25" s="10" t="s">
        <v>1707</v>
      </c>
      <c r="Y25" s="10" t="s">
        <v>68</v>
      </c>
      <c r="Z25" s="10" t="str">
        <f>_xlfn.DISPIMG("ID_CAAFF6B3AB474C8FAD0458009BDF82D9",1)</f>
        <v>=DISPIMG("ID_CAAFF6B3AB474C8FAD0458009BDF82D9",1)</v>
      </c>
      <c r="AA25" s="10" t="s">
        <v>34</v>
      </c>
      <c r="AB25" s="10" t="s">
        <v>1709</v>
      </c>
      <c r="AC25" s="10"/>
    </row>
    <row r="26" s="2" customFormat="1" ht="66" hidden="1" spans="1:29">
      <c r="A26" s="10" t="s">
        <v>1645</v>
      </c>
      <c r="B26" s="11" t="s">
        <v>1690</v>
      </c>
      <c r="C26" s="10" t="s">
        <v>1700</v>
      </c>
      <c r="D26" s="10" t="s">
        <v>1700</v>
      </c>
      <c r="E26" s="12"/>
      <c r="F26" s="13"/>
      <c r="G26" s="13"/>
      <c r="H26" s="15"/>
      <c r="I26" s="10"/>
      <c r="J26" s="10"/>
      <c r="K26" s="10"/>
      <c r="L26" s="10"/>
      <c r="M26" s="10"/>
      <c r="N26" s="10"/>
      <c r="O26" s="10"/>
      <c r="P26" s="10"/>
      <c r="Q26" s="10"/>
      <c r="R26" s="10"/>
      <c r="S26" s="10" t="s">
        <v>1710</v>
      </c>
      <c r="T26" s="10" t="s">
        <v>68</v>
      </c>
      <c r="U26" s="25" t="s">
        <v>1711</v>
      </c>
      <c r="V26" s="10" t="s">
        <v>1461</v>
      </c>
      <c r="W26" s="23"/>
      <c r="X26" s="10" t="s">
        <v>1710</v>
      </c>
      <c r="Y26" s="10" t="s">
        <v>68</v>
      </c>
      <c r="Z26" s="10" t="str">
        <f>_xlfn.DISPIMG("ID_FD97476FD5D74246BC80DE7153511B85",1)</f>
        <v>=DISPIMG("ID_FD97476FD5D74246BC80DE7153511B85",1)</v>
      </c>
      <c r="AA26" s="10" t="s">
        <v>34</v>
      </c>
      <c r="AB26" s="10" t="s">
        <v>1712</v>
      </c>
      <c r="AC26" s="10"/>
    </row>
    <row r="27" s="2" customFormat="1" ht="66" hidden="1" spans="1:29">
      <c r="A27" s="10" t="s">
        <v>1645</v>
      </c>
      <c r="B27" s="11" t="s">
        <v>1690</v>
      </c>
      <c r="C27" s="10" t="s">
        <v>1700</v>
      </c>
      <c r="D27" s="10" t="s">
        <v>1700</v>
      </c>
      <c r="E27" s="12"/>
      <c r="F27" s="13"/>
      <c r="G27" s="13"/>
      <c r="H27" s="16"/>
      <c r="I27" s="10"/>
      <c r="J27" s="10"/>
      <c r="K27" s="10"/>
      <c r="L27" s="10"/>
      <c r="M27" s="10"/>
      <c r="N27" s="10"/>
      <c r="O27" s="10"/>
      <c r="P27" s="10"/>
      <c r="Q27" s="10"/>
      <c r="R27" s="10"/>
      <c r="S27" s="10" t="s">
        <v>1713</v>
      </c>
      <c r="T27" s="10" t="s">
        <v>68</v>
      </c>
      <c r="U27" s="25" t="s">
        <v>1714</v>
      </c>
      <c r="V27" s="10" t="s">
        <v>1461</v>
      </c>
      <c r="W27" s="23"/>
      <c r="X27" s="10" t="s">
        <v>1713</v>
      </c>
      <c r="Y27" s="10" t="s">
        <v>68</v>
      </c>
      <c r="Z27" s="10" t="str">
        <f>_xlfn.DISPIMG("ID_C4CD3B07A5C049AA8295F549C88CB7C0",1)</f>
        <v>=DISPIMG("ID_C4CD3B07A5C049AA8295F549C88CB7C0",1)</v>
      </c>
      <c r="AA27" s="10" t="s">
        <v>34</v>
      </c>
      <c r="AB27" s="10" t="s">
        <v>1715</v>
      </c>
      <c r="AC27" s="10"/>
    </row>
    <row r="28" s="2" customFormat="1" ht="66" hidden="1" spans="1:29">
      <c r="A28" s="10" t="s">
        <v>1645</v>
      </c>
      <c r="B28" s="11" t="s">
        <v>1690</v>
      </c>
      <c r="C28" s="10" t="s">
        <v>1716</v>
      </c>
      <c r="D28" s="10" t="s">
        <v>1716</v>
      </c>
      <c r="E28" s="12"/>
      <c r="F28" s="13"/>
      <c r="G28" s="13"/>
      <c r="H28" s="14" t="s">
        <v>1716</v>
      </c>
      <c r="I28" s="10"/>
      <c r="J28" s="10"/>
      <c r="K28" s="10"/>
      <c r="L28" s="10"/>
      <c r="M28" s="10"/>
      <c r="N28" s="10"/>
      <c r="O28" s="10"/>
      <c r="P28" s="10"/>
      <c r="Q28" s="10"/>
      <c r="R28" s="10"/>
      <c r="S28" s="10" t="s">
        <v>1716</v>
      </c>
      <c r="T28" s="10" t="s">
        <v>32</v>
      </c>
      <c r="U28" s="10" t="s">
        <v>1716</v>
      </c>
      <c r="V28" s="10" t="s">
        <v>1461</v>
      </c>
      <c r="W28" s="23"/>
      <c r="X28" s="10" t="s">
        <v>1716</v>
      </c>
      <c r="Y28" s="10" t="s">
        <v>32</v>
      </c>
      <c r="Z28" s="10" t="str">
        <f>_xlfn.DISPIMG("ID_953775F75F6640718C4A594D01CB2E93",1)</f>
        <v>=DISPIMG("ID_953775F75F6640718C4A594D01CB2E93",1)</v>
      </c>
      <c r="AA28" s="10" t="s">
        <v>34</v>
      </c>
      <c r="AB28" s="10" t="s">
        <v>1717</v>
      </c>
      <c r="AC28" s="10"/>
    </row>
    <row r="29" s="2" customFormat="1" ht="66" hidden="1" spans="1:29">
      <c r="A29" s="10" t="s">
        <v>1645</v>
      </c>
      <c r="B29" s="11" t="s">
        <v>1690</v>
      </c>
      <c r="C29" s="10" t="s">
        <v>1716</v>
      </c>
      <c r="D29" s="10" t="s">
        <v>1716</v>
      </c>
      <c r="E29" s="12"/>
      <c r="F29" s="13"/>
      <c r="G29" s="13"/>
      <c r="H29" s="16"/>
      <c r="I29" s="10"/>
      <c r="J29" s="10"/>
      <c r="K29" s="10"/>
      <c r="L29" s="10"/>
      <c r="M29" s="10"/>
      <c r="N29" s="10"/>
      <c r="O29" s="10"/>
      <c r="P29" s="10"/>
      <c r="Q29" s="10"/>
      <c r="R29" s="10"/>
      <c r="S29" s="10" t="s">
        <v>1718</v>
      </c>
      <c r="T29" s="10" t="s">
        <v>32</v>
      </c>
      <c r="U29" s="10" t="s">
        <v>1718</v>
      </c>
      <c r="V29" s="10" t="s">
        <v>1461</v>
      </c>
      <c r="W29" s="23"/>
      <c r="X29" s="10" t="s">
        <v>1718</v>
      </c>
      <c r="Y29" s="10" t="s">
        <v>32</v>
      </c>
      <c r="Z29" s="10"/>
      <c r="AA29" s="10" t="s">
        <v>34</v>
      </c>
      <c r="AB29" s="10" t="s">
        <v>1719</v>
      </c>
      <c r="AC29" s="10"/>
    </row>
    <row r="30" s="2" customFormat="1" ht="71.25" hidden="1" spans="1:29">
      <c r="A30" s="10" t="s">
        <v>1645</v>
      </c>
      <c r="B30" s="11" t="s">
        <v>1718</v>
      </c>
      <c r="C30" s="10" t="s">
        <v>1718</v>
      </c>
      <c r="D30" s="10" t="s">
        <v>1718</v>
      </c>
      <c r="E30" s="12"/>
      <c r="F30" s="13"/>
      <c r="G30" s="13"/>
      <c r="H30" s="14" t="s">
        <v>1718</v>
      </c>
      <c r="I30" s="10"/>
      <c r="J30" s="10"/>
      <c r="K30" s="10"/>
      <c r="L30" s="10"/>
      <c r="M30" s="10"/>
      <c r="N30" s="10"/>
      <c r="O30" s="10"/>
      <c r="P30" s="10"/>
      <c r="Q30" s="10"/>
      <c r="R30" s="10"/>
      <c r="S30" s="10" t="s">
        <v>1720</v>
      </c>
      <c r="T30" s="10" t="s">
        <v>68</v>
      </c>
      <c r="U30" s="24" t="s">
        <v>1721</v>
      </c>
      <c r="V30" s="10" t="s">
        <v>1461</v>
      </c>
      <c r="W30" s="23"/>
      <c r="X30" s="10" t="s">
        <v>1720</v>
      </c>
      <c r="Y30" s="10" t="s">
        <v>68</v>
      </c>
      <c r="Z30" s="10" t="str">
        <f>_xlfn.DISPIMG("ID_23B57C198FD5442883789E7413DFC131",1)</f>
        <v>=DISPIMG("ID_23B57C198FD5442883789E7413DFC131",1)</v>
      </c>
      <c r="AA30" s="10" t="s">
        <v>34</v>
      </c>
      <c r="AB30" s="10" t="s">
        <v>1722</v>
      </c>
      <c r="AC30" s="10"/>
    </row>
    <row r="31" s="2" customFormat="1" ht="85.5" hidden="1" spans="1:29">
      <c r="A31" s="10" t="s">
        <v>1645</v>
      </c>
      <c r="B31" s="11" t="s">
        <v>1718</v>
      </c>
      <c r="C31" s="10" t="s">
        <v>1718</v>
      </c>
      <c r="D31" s="10" t="s">
        <v>1718</v>
      </c>
      <c r="E31" s="12"/>
      <c r="F31" s="13"/>
      <c r="G31" s="13"/>
      <c r="H31" s="16"/>
      <c r="I31" s="10"/>
      <c r="J31" s="10"/>
      <c r="K31" s="10"/>
      <c r="L31" s="10"/>
      <c r="M31" s="10"/>
      <c r="N31" s="10"/>
      <c r="O31" s="10"/>
      <c r="P31" s="10"/>
      <c r="Q31" s="10"/>
      <c r="R31" s="10"/>
      <c r="S31" s="10" t="s">
        <v>1723</v>
      </c>
      <c r="T31" s="10" t="s">
        <v>68</v>
      </c>
      <c r="U31" s="24" t="s">
        <v>1724</v>
      </c>
      <c r="V31" s="10" t="s">
        <v>1461</v>
      </c>
      <c r="W31" s="23"/>
      <c r="X31" s="10" t="s">
        <v>1723</v>
      </c>
      <c r="Y31" s="10" t="s">
        <v>68</v>
      </c>
      <c r="Z31" s="10" t="str">
        <f>_xlfn.DISPIMG("ID_37375C8A8C7243028533EDA682BAD271",1)</f>
        <v>=DISPIMG("ID_37375C8A8C7243028533EDA682BAD271",1)</v>
      </c>
      <c r="AA31" s="10" t="s">
        <v>34</v>
      </c>
      <c r="AB31" s="10" t="s">
        <v>1725</v>
      </c>
      <c r="AC31" s="10"/>
    </row>
    <row r="32" s="2" customFormat="1" ht="66" hidden="1" spans="1:29">
      <c r="A32" s="10" t="s">
        <v>1645</v>
      </c>
      <c r="B32" s="11" t="s">
        <v>1726</v>
      </c>
      <c r="C32" s="10" t="s">
        <v>1727</v>
      </c>
      <c r="D32" s="10" t="s">
        <v>1727</v>
      </c>
      <c r="E32" s="12"/>
      <c r="F32" s="13"/>
      <c r="G32" s="13"/>
      <c r="H32" s="14" t="s">
        <v>1727</v>
      </c>
      <c r="I32" s="10"/>
      <c r="J32" s="10"/>
      <c r="K32" s="10"/>
      <c r="L32" s="10"/>
      <c r="M32" s="10"/>
      <c r="N32" s="10"/>
      <c r="O32" s="10"/>
      <c r="P32" s="10"/>
      <c r="Q32" s="10"/>
      <c r="R32" s="10"/>
      <c r="S32" s="10" t="s">
        <v>1728</v>
      </c>
      <c r="T32" s="10" t="s">
        <v>68</v>
      </c>
      <c r="U32" s="24" t="s">
        <v>1729</v>
      </c>
      <c r="V32" s="10" t="s">
        <v>1461</v>
      </c>
      <c r="W32" s="23"/>
      <c r="X32" s="10" t="s">
        <v>1728</v>
      </c>
      <c r="Y32" s="10" t="s">
        <v>68</v>
      </c>
      <c r="Z32" s="10" t="str">
        <f>_xlfn.DISPIMG("ID_727C7F7A92084B8290D0F11AE3F899FF",1)</f>
        <v>=DISPIMG("ID_727C7F7A92084B8290D0F11AE3F899FF",1)</v>
      </c>
      <c r="AA32" s="10" t="s">
        <v>34</v>
      </c>
      <c r="AB32" s="10" t="s">
        <v>1730</v>
      </c>
      <c r="AC32" s="10"/>
    </row>
    <row r="33" s="2" customFormat="1" ht="66" hidden="1" spans="1:29">
      <c r="A33" s="10" t="s">
        <v>1645</v>
      </c>
      <c r="B33" s="11" t="s">
        <v>1726</v>
      </c>
      <c r="C33" s="10" t="s">
        <v>1727</v>
      </c>
      <c r="D33" s="10" t="s">
        <v>1727</v>
      </c>
      <c r="E33" s="12"/>
      <c r="F33" s="13"/>
      <c r="G33" s="13"/>
      <c r="H33" s="16"/>
      <c r="I33" s="10"/>
      <c r="J33" s="10"/>
      <c r="K33" s="10"/>
      <c r="L33" s="10"/>
      <c r="M33" s="10"/>
      <c r="N33" s="10"/>
      <c r="O33" s="10"/>
      <c r="P33" s="10"/>
      <c r="Q33" s="10"/>
      <c r="R33" s="10"/>
      <c r="S33" s="10" t="s">
        <v>1731</v>
      </c>
      <c r="T33" s="10" t="s">
        <v>68</v>
      </c>
      <c r="U33" s="24" t="s">
        <v>1732</v>
      </c>
      <c r="V33" s="10" t="s">
        <v>1461</v>
      </c>
      <c r="W33" s="23"/>
      <c r="X33" s="10" t="s">
        <v>1731</v>
      </c>
      <c r="Y33" s="10" t="s">
        <v>68</v>
      </c>
      <c r="Z33" s="10" t="str">
        <f>_xlfn.DISPIMG("ID_29973D3E9C5C4CACA8CCB7BC60C1FDB2",1)</f>
        <v>=DISPIMG("ID_29973D3E9C5C4CACA8CCB7BC60C1FDB2",1)</v>
      </c>
      <c r="AA33" s="10" t="s">
        <v>34</v>
      </c>
      <c r="AB33" s="10" t="s">
        <v>1733</v>
      </c>
      <c r="AC33" s="10"/>
    </row>
    <row r="34" s="2" customFormat="1" ht="66" hidden="1" spans="1:29">
      <c r="A34" s="10" t="s">
        <v>1645</v>
      </c>
      <c r="B34" s="11" t="s">
        <v>1726</v>
      </c>
      <c r="C34" s="10" t="s">
        <v>1734</v>
      </c>
      <c r="D34" s="10" t="s">
        <v>1734</v>
      </c>
      <c r="E34" s="12"/>
      <c r="F34" s="13"/>
      <c r="G34" s="13"/>
      <c r="H34" s="10" t="s">
        <v>1734</v>
      </c>
      <c r="I34" s="10"/>
      <c r="J34" s="10"/>
      <c r="K34" s="10"/>
      <c r="L34" s="10"/>
      <c r="M34" s="10"/>
      <c r="N34" s="10"/>
      <c r="O34" s="10"/>
      <c r="P34" s="10"/>
      <c r="Q34" s="10"/>
      <c r="R34" s="10"/>
      <c r="S34" s="10" t="s">
        <v>1734</v>
      </c>
      <c r="T34" s="10" t="s">
        <v>32</v>
      </c>
      <c r="U34" s="10" t="s">
        <v>1734</v>
      </c>
      <c r="V34" s="10" t="s">
        <v>33</v>
      </c>
      <c r="W34" s="23"/>
      <c r="X34" s="10" t="s">
        <v>1734</v>
      </c>
      <c r="Y34" s="10" t="s">
        <v>32</v>
      </c>
      <c r="Z34" s="10" t="str">
        <f>_xlfn.DISPIMG("ID_CEFD35FC562649259176A69813C5CE02",1)</f>
        <v>=DISPIMG("ID_CEFD35FC562649259176A69813C5CE02",1)</v>
      </c>
      <c r="AA34" s="10" t="s">
        <v>34</v>
      </c>
      <c r="AB34" s="10" t="s">
        <v>1735</v>
      </c>
      <c r="AC34" s="10"/>
    </row>
    <row r="35" s="2" customFormat="1" ht="66" hidden="1" spans="1:29">
      <c r="A35" s="10" t="s">
        <v>1645</v>
      </c>
      <c r="B35" s="11" t="s">
        <v>1736</v>
      </c>
      <c r="C35" s="10" t="s">
        <v>1736</v>
      </c>
      <c r="D35" s="10" t="s">
        <v>1736</v>
      </c>
      <c r="E35" s="12"/>
      <c r="F35" s="13"/>
      <c r="G35" s="13"/>
      <c r="H35" s="10" t="s">
        <v>1736</v>
      </c>
      <c r="I35" s="10"/>
      <c r="J35" s="10"/>
      <c r="K35" s="10"/>
      <c r="L35" s="10"/>
      <c r="M35" s="10"/>
      <c r="N35" s="10"/>
      <c r="O35" s="10"/>
      <c r="P35" s="10"/>
      <c r="Q35" s="10"/>
      <c r="R35" s="10"/>
      <c r="S35" s="10" t="s">
        <v>1736</v>
      </c>
      <c r="T35" s="10" t="s">
        <v>32</v>
      </c>
      <c r="U35" s="10" t="s">
        <v>1736</v>
      </c>
      <c r="V35" s="10" t="s">
        <v>33</v>
      </c>
      <c r="W35" s="23"/>
      <c r="X35" s="10" t="s">
        <v>1736</v>
      </c>
      <c r="Y35" s="10" t="s">
        <v>32</v>
      </c>
      <c r="Z35" s="10" t="str">
        <f>_xlfn.DISPIMG("ID_5C909FB74AFE448C8DE7F500A1496E9C",1)</f>
        <v>=DISPIMG("ID_5C909FB74AFE448C8DE7F500A1496E9C",1)</v>
      </c>
      <c r="AA35" s="10" t="s">
        <v>34</v>
      </c>
      <c r="AB35" s="10" t="s">
        <v>1737</v>
      </c>
      <c r="AC35" s="10"/>
    </row>
    <row r="36" s="2" customFormat="1" ht="66" spans="1:29">
      <c r="A36" s="10" t="s">
        <v>1645</v>
      </c>
      <c r="B36" s="11" t="s">
        <v>1738</v>
      </c>
      <c r="C36" s="10" t="s">
        <v>1738</v>
      </c>
      <c r="D36" s="10" t="s">
        <v>1738</v>
      </c>
      <c r="E36" s="12"/>
      <c r="F36" s="13"/>
      <c r="G36" s="13"/>
      <c r="H36" s="10" t="s">
        <v>1738</v>
      </c>
      <c r="I36" s="10"/>
      <c r="J36" s="10"/>
      <c r="K36" s="10"/>
      <c r="L36" s="10"/>
      <c r="M36" s="10"/>
      <c r="N36" s="10"/>
      <c r="O36" s="10"/>
      <c r="P36" s="10"/>
      <c r="Q36" s="10"/>
      <c r="R36" s="10"/>
      <c r="S36" s="10" t="s">
        <v>1738</v>
      </c>
      <c r="T36" s="10" t="s">
        <v>32</v>
      </c>
      <c r="U36" s="10" t="s">
        <v>1738</v>
      </c>
      <c r="V36" s="10" t="s">
        <v>33</v>
      </c>
      <c r="W36" s="23"/>
      <c r="X36" s="10" t="s">
        <v>1738</v>
      </c>
      <c r="Y36" s="10" t="s">
        <v>32</v>
      </c>
      <c r="Z36" s="10" t="str">
        <f>_xlfn.DISPIMG("ID_57F84E14A4154CBF839D63172A9E109B",1)</f>
        <v>=DISPIMG("ID_57F84E14A4154CBF839D63172A9E109B",1)</v>
      </c>
      <c r="AA36" s="10" t="s">
        <v>34</v>
      </c>
      <c r="AB36" s="10" t="s">
        <v>1739</v>
      </c>
      <c r="AC36" s="10"/>
    </row>
    <row r="37" s="2" customFormat="1" spans="1:29">
      <c r="A37" s="10"/>
      <c r="B37" s="11"/>
      <c r="C37" s="10"/>
      <c r="D37" s="10"/>
      <c r="E37" s="12"/>
      <c r="F37" s="10"/>
      <c r="G37" s="13"/>
      <c r="H37" s="17"/>
      <c r="I37" s="10"/>
      <c r="J37" s="10"/>
      <c r="K37" s="10"/>
      <c r="L37" s="10"/>
      <c r="M37" s="10"/>
      <c r="N37" s="10"/>
      <c r="O37" s="10"/>
      <c r="P37" s="10"/>
      <c r="Q37" s="10"/>
      <c r="R37" s="10"/>
      <c r="S37" s="10"/>
      <c r="T37" s="10"/>
      <c r="U37" s="13"/>
      <c r="V37" s="10"/>
      <c r="W37" s="23"/>
      <c r="X37" s="10"/>
      <c r="Y37" s="10"/>
      <c r="Z37" s="10"/>
      <c r="AA37" s="10"/>
      <c r="AB37" s="10"/>
      <c r="AC37" s="10"/>
    </row>
    <row r="38" s="2" customFormat="1" spans="1:29">
      <c r="A38" s="10"/>
      <c r="B38" s="11"/>
      <c r="C38" s="10"/>
      <c r="D38" s="10"/>
      <c r="E38" s="12"/>
      <c r="F38" s="10"/>
      <c r="G38" s="13"/>
      <c r="H38" s="17"/>
      <c r="I38" s="10"/>
      <c r="J38" s="10"/>
      <c r="K38" s="10"/>
      <c r="L38" s="10"/>
      <c r="M38" s="10"/>
      <c r="N38" s="10"/>
      <c r="O38" s="10"/>
      <c r="P38" s="10"/>
      <c r="Q38" s="10"/>
      <c r="R38" s="10"/>
      <c r="S38" s="10"/>
      <c r="T38" s="10"/>
      <c r="U38" s="13"/>
      <c r="V38" s="10"/>
      <c r="W38" s="23"/>
      <c r="X38" s="10"/>
      <c r="Y38" s="10"/>
      <c r="Z38" s="10"/>
      <c r="AA38" s="10"/>
      <c r="AB38" s="10"/>
      <c r="AC38" s="10"/>
    </row>
    <row r="39" s="2" customFormat="1" spans="1:29">
      <c r="A39" s="10"/>
      <c r="B39" s="11"/>
      <c r="C39" s="10"/>
      <c r="D39" s="10"/>
      <c r="E39" s="12"/>
      <c r="F39" s="10"/>
      <c r="G39" s="13"/>
      <c r="H39" s="17"/>
      <c r="I39" s="10"/>
      <c r="J39" s="10"/>
      <c r="K39" s="10"/>
      <c r="L39" s="10"/>
      <c r="M39" s="10"/>
      <c r="N39" s="10"/>
      <c r="O39" s="10"/>
      <c r="P39" s="10"/>
      <c r="Q39" s="10"/>
      <c r="R39" s="10"/>
      <c r="S39" s="10"/>
      <c r="T39" s="10"/>
      <c r="U39" s="13"/>
      <c r="V39" s="10"/>
      <c r="W39" s="23"/>
      <c r="X39" s="10"/>
      <c r="Y39" s="10"/>
      <c r="Z39" s="10"/>
      <c r="AA39" s="10"/>
      <c r="AB39" s="10"/>
      <c r="AC39" s="10"/>
    </row>
    <row r="40" s="2" customFormat="1" spans="1:29">
      <c r="A40" s="10"/>
      <c r="B40" s="11"/>
      <c r="C40" s="10"/>
      <c r="D40" s="10"/>
      <c r="E40" s="12"/>
      <c r="F40" s="10"/>
      <c r="G40" s="13"/>
      <c r="H40" s="17"/>
      <c r="I40" s="10"/>
      <c r="J40" s="10"/>
      <c r="K40" s="10"/>
      <c r="L40" s="10"/>
      <c r="M40" s="10"/>
      <c r="N40" s="10"/>
      <c r="O40" s="10"/>
      <c r="P40" s="10"/>
      <c r="Q40" s="10"/>
      <c r="R40" s="10"/>
      <c r="S40" s="10"/>
      <c r="T40" s="10"/>
      <c r="U40" s="13"/>
      <c r="V40" s="10"/>
      <c r="W40" s="23"/>
      <c r="X40" s="10"/>
      <c r="Y40" s="10"/>
      <c r="Z40" s="10"/>
      <c r="AA40" s="10"/>
      <c r="AB40" s="10"/>
      <c r="AC40" s="10"/>
    </row>
    <row r="41" s="2" customFormat="1" spans="1:29">
      <c r="A41" s="10"/>
      <c r="B41" s="11"/>
      <c r="C41" s="10"/>
      <c r="D41" s="10"/>
      <c r="E41" s="12"/>
      <c r="F41" s="10"/>
      <c r="G41" s="13"/>
      <c r="H41" s="17"/>
      <c r="I41" s="10"/>
      <c r="J41" s="10"/>
      <c r="K41" s="10"/>
      <c r="L41" s="10"/>
      <c r="M41" s="10"/>
      <c r="N41" s="10"/>
      <c r="O41" s="10"/>
      <c r="P41" s="10"/>
      <c r="Q41" s="10"/>
      <c r="R41" s="10"/>
      <c r="S41" s="10"/>
      <c r="T41" s="10"/>
      <c r="U41" s="13"/>
      <c r="V41" s="10"/>
      <c r="W41" s="23"/>
      <c r="X41" s="10"/>
      <c r="Y41" s="10"/>
      <c r="Z41" s="10"/>
      <c r="AA41" s="10"/>
      <c r="AB41" s="10"/>
      <c r="AC41" s="10"/>
    </row>
    <row r="42" s="2" customFormat="1" spans="1:29">
      <c r="A42" s="10"/>
      <c r="B42" s="11"/>
      <c r="C42" s="10"/>
      <c r="D42" s="10"/>
      <c r="E42" s="12"/>
      <c r="F42" s="10"/>
      <c r="G42" s="13"/>
      <c r="H42" s="17"/>
      <c r="I42" s="10"/>
      <c r="J42" s="10"/>
      <c r="K42" s="10"/>
      <c r="L42" s="10"/>
      <c r="M42" s="10"/>
      <c r="N42" s="10"/>
      <c r="O42" s="10"/>
      <c r="P42" s="10"/>
      <c r="Q42" s="10"/>
      <c r="R42" s="26"/>
      <c r="S42" s="10"/>
      <c r="T42" s="10"/>
      <c r="U42" s="13"/>
      <c r="V42" s="10"/>
      <c r="W42" s="23"/>
      <c r="X42" s="10"/>
      <c r="Y42" s="10"/>
      <c r="Z42" s="10"/>
      <c r="AA42" s="10"/>
      <c r="AB42" s="10"/>
      <c r="AC42" s="10"/>
    </row>
    <row r="43" s="2" customFormat="1" spans="1:29">
      <c r="A43" s="10"/>
      <c r="B43" s="11"/>
      <c r="C43" s="10"/>
      <c r="D43" s="10"/>
      <c r="E43" s="12"/>
      <c r="F43" s="10"/>
      <c r="G43" s="13"/>
      <c r="H43" s="17"/>
      <c r="I43" s="10"/>
      <c r="J43" s="10"/>
      <c r="K43" s="10"/>
      <c r="L43" s="10"/>
      <c r="M43" s="10"/>
      <c r="N43" s="10"/>
      <c r="O43" s="10"/>
      <c r="P43" s="10"/>
      <c r="Q43" s="10"/>
      <c r="R43" s="26"/>
      <c r="S43" s="10"/>
      <c r="T43" s="10"/>
      <c r="U43" s="13"/>
      <c r="V43" s="10"/>
      <c r="W43" s="23"/>
      <c r="X43" s="10"/>
      <c r="Y43" s="10"/>
      <c r="Z43" s="10"/>
      <c r="AA43" s="10"/>
      <c r="AB43" s="10"/>
      <c r="AC43" s="10"/>
    </row>
    <row r="44" s="2" customFormat="1" spans="1:29">
      <c r="A44" s="10"/>
      <c r="B44" s="11"/>
      <c r="C44" s="10"/>
      <c r="D44" s="10"/>
      <c r="E44" s="12"/>
      <c r="F44" s="10"/>
      <c r="G44" s="13"/>
      <c r="H44" s="17"/>
      <c r="I44" s="10"/>
      <c r="J44" s="10"/>
      <c r="K44" s="10"/>
      <c r="L44" s="10"/>
      <c r="M44" s="10"/>
      <c r="N44" s="10"/>
      <c r="O44" s="10"/>
      <c r="P44" s="10"/>
      <c r="Q44" s="10"/>
      <c r="R44" s="26"/>
      <c r="S44" s="10"/>
      <c r="T44" s="10"/>
      <c r="U44" s="13"/>
      <c r="V44" s="10"/>
      <c r="W44" s="23"/>
      <c r="X44" s="10"/>
      <c r="Y44" s="10"/>
      <c r="Z44" s="10"/>
      <c r="AA44" s="10"/>
      <c r="AB44" s="10"/>
      <c r="AC44" s="10"/>
    </row>
    <row r="45" s="2" customFormat="1" spans="1:29">
      <c r="A45" s="10"/>
      <c r="B45" s="11"/>
      <c r="C45" s="10"/>
      <c r="D45" s="10"/>
      <c r="E45" s="12"/>
      <c r="F45" s="10"/>
      <c r="G45" s="13"/>
      <c r="H45" s="18"/>
      <c r="I45" s="19"/>
      <c r="J45" s="19"/>
      <c r="K45" s="19"/>
      <c r="L45" s="19"/>
      <c r="M45" s="19"/>
      <c r="N45" s="19"/>
      <c r="O45" s="19"/>
      <c r="P45" s="19"/>
      <c r="Q45" s="19"/>
      <c r="R45" s="19"/>
      <c r="S45" s="19"/>
      <c r="T45" s="19"/>
      <c r="U45" s="13"/>
      <c r="V45" s="10"/>
      <c r="W45" s="23"/>
      <c r="X45" s="10"/>
      <c r="Y45" s="10"/>
      <c r="Z45" s="10"/>
      <c r="AA45" s="10"/>
      <c r="AB45" s="10"/>
      <c r="AC45" s="10"/>
    </row>
    <row r="46" s="2" customFormat="1" spans="1:29">
      <c r="A46" s="10"/>
      <c r="B46" s="11"/>
      <c r="C46" s="10"/>
      <c r="D46" s="10"/>
      <c r="E46" s="12"/>
      <c r="F46" s="10"/>
      <c r="G46" s="13"/>
      <c r="H46" s="17"/>
      <c r="I46" s="10"/>
      <c r="J46" s="10"/>
      <c r="K46" s="10"/>
      <c r="L46" s="10"/>
      <c r="M46" s="10"/>
      <c r="N46" s="10"/>
      <c r="O46" s="10"/>
      <c r="P46" s="10"/>
      <c r="Q46" s="10"/>
      <c r="R46" s="26"/>
      <c r="S46" s="10"/>
      <c r="T46" s="10"/>
      <c r="U46" s="13"/>
      <c r="V46" s="10"/>
      <c r="W46" s="23"/>
      <c r="X46" s="10"/>
      <c r="Y46" s="10"/>
      <c r="Z46" s="10"/>
      <c r="AA46" s="10"/>
      <c r="AB46" s="10"/>
      <c r="AC46" s="10"/>
    </row>
    <row r="47" s="2" customFormat="1" spans="1:29">
      <c r="A47" s="10"/>
      <c r="B47" s="11"/>
      <c r="C47" s="10"/>
      <c r="D47" s="10"/>
      <c r="E47" s="12"/>
      <c r="F47" s="10"/>
      <c r="G47" s="13"/>
      <c r="H47" s="17"/>
      <c r="I47" s="10"/>
      <c r="J47" s="10"/>
      <c r="K47" s="10"/>
      <c r="L47" s="10"/>
      <c r="M47" s="10"/>
      <c r="N47" s="10"/>
      <c r="O47" s="10"/>
      <c r="P47" s="10"/>
      <c r="Q47" s="10"/>
      <c r="R47" s="26"/>
      <c r="S47" s="10"/>
      <c r="T47" s="10"/>
      <c r="U47" s="13"/>
      <c r="V47" s="10"/>
      <c r="W47" s="23"/>
      <c r="X47" s="10"/>
      <c r="Y47" s="10"/>
      <c r="Z47" s="10"/>
      <c r="AA47" s="10"/>
      <c r="AB47" s="10"/>
      <c r="AC47" s="10"/>
    </row>
    <row r="48" s="2" customFormat="1" spans="1:29">
      <c r="A48" s="10"/>
      <c r="B48" s="11"/>
      <c r="C48" s="10"/>
      <c r="D48" s="10"/>
      <c r="E48" s="12"/>
      <c r="F48" s="10"/>
      <c r="G48" s="13"/>
      <c r="H48" s="17"/>
      <c r="I48" s="10"/>
      <c r="J48" s="10"/>
      <c r="K48" s="10"/>
      <c r="L48" s="10"/>
      <c r="M48" s="10"/>
      <c r="N48" s="10"/>
      <c r="O48" s="10"/>
      <c r="P48" s="10"/>
      <c r="Q48" s="10"/>
      <c r="R48" s="26"/>
      <c r="S48" s="10"/>
      <c r="T48" s="10"/>
      <c r="U48" s="13"/>
      <c r="V48" s="10"/>
      <c r="W48" s="23"/>
      <c r="X48" s="10"/>
      <c r="Y48" s="10"/>
      <c r="Z48" s="10"/>
      <c r="AA48" s="10"/>
      <c r="AB48" s="10"/>
      <c r="AC48" s="10"/>
    </row>
    <row r="49" s="2" customFormat="1" spans="1:29">
      <c r="A49" s="10"/>
      <c r="B49" s="11"/>
      <c r="C49" s="10"/>
      <c r="D49" s="10"/>
      <c r="E49" s="12"/>
      <c r="F49" s="10"/>
      <c r="G49" s="13"/>
      <c r="H49" s="17"/>
      <c r="I49" s="10"/>
      <c r="J49" s="10"/>
      <c r="K49" s="10"/>
      <c r="L49" s="10"/>
      <c r="M49" s="10"/>
      <c r="N49" s="10"/>
      <c r="O49" s="10"/>
      <c r="P49" s="10"/>
      <c r="Q49" s="10"/>
      <c r="R49" s="26"/>
      <c r="S49" s="10"/>
      <c r="T49" s="10"/>
      <c r="U49" s="13"/>
      <c r="V49" s="10"/>
      <c r="W49" s="23"/>
      <c r="X49" s="10"/>
      <c r="Y49" s="10"/>
      <c r="Z49" s="10"/>
      <c r="AA49" s="10"/>
      <c r="AB49" s="10"/>
      <c r="AC49" s="10"/>
    </row>
    <row r="50" s="2" customFormat="1" spans="1:29">
      <c r="A50" s="10"/>
      <c r="B50" s="11"/>
      <c r="C50" s="10"/>
      <c r="D50" s="10"/>
      <c r="E50" s="12"/>
      <c r="F50" s="10"/>
      <c r="G50" s="13"/>
      <c r="H50" s="17"/>
      <c r="I50" s="10"/>
      <c r="J50" s="10"/>
      <c r="K50" s="10"/>
      <c r="L50" s="10"/>
      <c r="M50" s="10"/>
      <c r="N50" s="10"/>
      <c r="O50" s="10"/>
      <c r="P50" s="10"/>
      <c r="Q50" s="10"/>
      <c r="R50" s="26"/>
      <c r="S50" s="10"/>
      <c r="T50" s="10"/>
      <c r="U50" s="13"/>
      <c r="V50" s="10"/>
      <c r="W50" s="23"/>
      <c r="X50" s="10"/>
      <c r="Y50" s="10"/>
      <c r="Z50" s="10"/>
      <c r="AA50" s="10"/>
      <c r="AB50" s="10"/>
      <c r="AC50" s="10"/>
    </row>
    <row r="51" s="2" customFormat="1" spans="1:29">
      <c r="A51" s="10"/>
      <c r="B51" s="11"/>
      <c r="C51" s="10"/>
      <c r="D51" s="10"/>
      <c r="E51" s="12"/>
      <c r="F51" s="10"/>
      <c r="G51" s="13"/>
      <c r="H51" s="17"/>
      <c r="I51" s="10"/>
      <c r="J51" s="10"/>
      <c r="K51" s="10"/>
      <c r="L51" s="10"/>
      <c r="M51" s="10"/>
      <c r="N51" s="10"/>
      <c r="O51" s="10"/>
      <c r="P51" s="10"/>
      <c r="Q51" s="10"/>
      <c r="R51" s="26"/>
      <c r="S51" s="10"/>
      <c r="T51" s="10"/>
      <c r="U51" s="13"/>
      <c r="V51" s="10"/>
      <c r="W51" s="23"/>
      <c r="X51" s="10"/>
      <c r="Y51" s="10"/>
      <c r="Z51" s="10"/>
      <c r="AA51" s="10"/>
      <c r="AB51" s="10"/>
      <c r="AC51" s="10"/>
    </row>
    <row r="52" s="2" customFormat="1" spans="1:29">
      <c r="A52" s="10"/>
      <c r="B52" s="11"/>
      <c r="C52" s="10"/>
      <c r="D52" s="10"/>
      <c r="E52" s="12"/>
      <c r="F52" s="10"/>
      <c r="G52" s="13"/>
      <c r="H52" s="17"/>
      <c r="I52" s="10"/>
      <c r="J52" s="10"/>
      <c r="K52" s="10"/>
      <c r="L52" s="10"/>
      <c r="M52" s="10"/>
      <c r="N52" s="10"/>
      <c r="O52" s="10"/>
      <c r="P52" s="10"/>
      <c r="Q52" s="10"/>
      <c r="R52" s="26"/>
      <c r="S52" s="10"/>
      <c r="T52" s="10"/>
      <c r="U52" s="13"/>
      <c r="V52" s="10"/>
      <c r="W52" s="23"/>
      <c r="X52" s="10"/>
      <c r="Y52" s="10"/>
      <c r="Z52" s="10"/>
      <c r="AA52" s="10"/>
      <c r="AB52" s="10"/>
      <c r="AC52" s="10"/>
    </row>
    <row r="53" s="2" customFormat="1" spans="1:29">
      <c r="A53" s="10"/>
      <c r="B53" s="11"/>
      <c r="C53" s="10"/>
      <c r="D53" s="10"/>
      <c r="E53" s="12"/>
      <c r="F53" s="10"/>
      <c r="G53" s="13"/>
      <c r="H53" s="17"/>
      <c r="I53" s="10"/>
      <c r="J53" s="10"/>
      <c r="K53" s="10"/>
      <c r="L53" s="10"/>
      <c r="M53" s="10"/>
      <c r="N53" s="10"/>
      <c r="O53" s="10"/>
      <c r="P53" s="10"/>
      <c r="Q53" s="10"/>
      <c r="R53" s="26"/>
      <c r="S53" s="10"/>
      <c r="T53" s="10"/>
      <c r="U53" s="13"/>
      <c r="V53" s="10"/>
      <c r="W53" s="23"/>
      <c r="X53" s="10"/>
      <c r="Y53" s="10"/>
      <c r="Z53" s="10"/>
      <c r="AA53" s="10"/>
      <c r="AB53" s="10"/>
      <c r="AC53" s="10"/>
    </row>
    <row r="54" s="2" customFormat="1" spans="1:29">
      <c r="A54" s="10"/>
      <c r="B54" s="11"/>
      <c r="C54" s="10"/>
      <c r="D54" s="10"/>
      <c r="E54" s="12"/>
      <c r="F54" s="10"/>
      <c r="G54" s="13"/>
      <c r="H54" s="17"/>
      <c r="I54" s="10"/>
      <c r="J54" s="10"/>
      <c r="K54" s="10"/>
      <c r="L54" s="10"/>
      <c r="M54" s="10"/>
      <c r="N54" s="10"/>
      <c r="O54" s="10"/>
      <c r="P54" s="10"/>
      <c r="Q54" s="10"/>
      <c r="R54" s="26"/>
      <c r="S54" s="10"/>
      <c r="T54" s="10"/>
      <c r="U54" s="13"/>
      <c r="V54" s="10"/>
      <c r="W54" s="23"/>
      <c r="X54" s="10"/>
      <c r="Y54" s="10"/>
      <c r="Z54" s="10"/>
      <c r="AA54" s="10"/>
      <c r="AB54" s="10"/>
      <c r="AC54" s="10"/>
    </row>
    <row r="55" s="2" customFormat="1" spans="1:29">
      <c r="A55" s="10"/>
      <c r="B55" s="11"/>
      <c r="C55" s="10"/>
      <c r="D55" s="10"/>
      <c r="E55" s="12"/>
      <c r="F55" s="10"/>
      <c r="G55" s="13"/>
      <c r="H55" s="17"/>
      <c r="I55" s="10"/>
      <c r="J55" s="10"/>
      <c r="K55" s="10"/>
      <c r="L55" s="10"/>
      <c r="M55" s="10"/>
      <c r="N55" s="10"/>
      <c r="O55" s="10"/>
      <c r="P55" s="10"/>
      <c r="Q55" s="10"/>
      <c r="R55" s="26"/>
      <c r="S55" s="10"/>
      <c r="T55" s="10"/>
      <c r="U55" s="13"/>
      <c r="V55" s="10"/>
      <c r="W55" s="23"/>
      <c r="X55" s="10"/>
      <c r="Y55" s="10"/>
      <c r="Z55" s="10"/>
      <c r="AA55" s="10"/>
      <c r="AB55" s="10"/>
      <c r="AC55" s="10"/>
    </row>
    <row r="56" s="2" customFormat="1" spans="1:29">
      <c r="A56" s="10"/>
      <c r="B56" s="11"/>
      <c r="C56" s="10"/>
      <c r="D56" s="10"/>
      <c r="E56" s="12"/>
      <c r="F56" s="10"/>
      <c r="G56" s="13"/>
      <c r="H56" s="17"/>
      <c r="I56" s="10"/>
      <c r="J56" s="10"/>
      <c r="K56" s="10"/>
      <c r="L56" s="10"/>
      <c r="M56" s="10"/>
      <c r="N56" s="10"/>
      <c r="O56" s="10"/>
      <c r="P56" s="10"/>
      <c r="Q56" s="10"/>
      <c r="R56" s="26"/>
      <c r="S56" s="10"/>
      <c r="T56" s="10"/>
      <c r="U56" s="13"/>
      <c r="V56" s="10"/>
      <c r="W56" s="23"/>
      <c r="X56" s="10"/>
      <c r="Y56" s="10"/>
      <c r="Z56" s="10"/>
      <c r="AA56" s="10"/>
      <c r="AB56" s="10"/>
      <c r="AC56" s="10"/>
    </row>
    <row r="57" s="2" customFormat="1" spans="1:29">
      <c r="A57" s="10"/>
      <c r="B57" s="11"/>
      <c r="C57" s="10"/>
      <c r="D57" s="10"/>
      <c r="E57" s="12"/>
      <c r="F57" s="10"/>
      <c r="G57" s="13"/>
      <c r="H57" s="17"/>
      <c r="I57" s="10"/>
      <c r="J57" s="10"/>
      <c r="K57" s="10"/>
      <c r="L57" s="10"/>
      <c r="M57" s="10"/>
      <c r="N57" s="10"/>
      <c r="O57" s="10"/>
      <c r="P57" s="10"/>
      <c r="Q57" s="10"/>
      <c r="R57" s="26"/>
      <c r="S57" s="10"/>
      <c r="T57" s="10"/>
      <c r="U57" s="13"/>
      <c r="V57" s="10"/>
      <c r="W57" s="23"/>
      <c r="X57" s="10"/>
      <c r="Y57" s="10"/>
      <c r="Z57" s="10"/>
      <c r="AA57" s="10"/>
      <c r="AB57" s="10"/>
      <c r="AC57" s="10"/>
    </row>
    <row r="58" s="2" customFormat="1" spans="1:29">
      <c r="A58" s="10"/>
      <c r="B58" s="11"/>
      <c r="C58" s="10"/>
      <c r="D58" s="10"/>
      <c r="E58" s="12"/>
      <c r="F58" s="10"/>
      <c r="G58" s="13"/>
      <c r="H58" s="17"/>
      <c r="I58" s="10"/>
      <c r="J58" s="10"/>
      <c r="K58" s="10"/>
      <c r="L58" s="10"/>
      <c r="M58" s="10"/>
      <c r="N58" s="10"/>
      <c r="O58" s="10"/>
      <c r="P58" s="10"/>
      <c r="Q58" s="10"/>
      <c r="R58" s="26"/>
      <c r="S58" s="10"/>
      <c r="T58" s="10"/>
      <c r="U58" s="13"/>
      <c r="V58" s="10"/>
      <c r="W58" s="23"/>
      <c r="X58" s="10"/>
      <c r="Y58" s="10"/>
      <c r="Z58" s="10"/>
      <c r="AA58" s="10"/>
      <c r="AB58" s="10"/>
      <c r="AC58" s="10"/>
    </row>
    <row r="59" s="2" customFormat="1" spans="1:29">
      <c r="A59" s="10"/>
      <c r="B59" s="11"/>
      <c r="C59" s="10"/>
      <c r="D59" s="10"/>
      <c r="E59" s="12"/>
      <c r="F59" s="10"/>
      <c r="G59" s="13"/>
      <c r="H59" s="17"/>
      <c r="I59" s="10"/>
      <c r="J59" s="10"/>
      <c r="K59" s="10"/>
      <c r="L59" s="10"/>
      <c r="M59" s="10"/>
      <c r="N59" s="10"/>
      <c r="O59" s="10"/>
      <c r="P59" s="10"/>
      <c r="Q59" s="10"/>
      <c r="R59" s="26"/>
      <c r="S59" s="10"/>
      <c r="T59" s="10"/>
      <c r="U59" s="13"/>
      <c r="V59" s="10"/>
      <c r="W59" s="23"/>
      <c r="X59" s="10"/>
      <c r="Y59" s="10"/>
      <c r="Z59" s="10"/>
      <c r="AA59" s="10"/>
      <c r="AB59" s="10"/>
      <c r="AC59" s="10"/>
    </row>
    <row r="60" s="2" customFormat="1" spans="1:29">
      <c r="A60" s="10"/>
      <c r="B60" s="11"/>
      <c r="C60" s="10"/>
      <c r="D60" s="10"/>
      <c r="E60" s="12"/>
      <c r="F60" s="10"/>
      <c r="G60" s="13"/>
      <c r="H60" s="17"/>
      <c r="I60" s="10"/>
      <c r="J60" s="10"/>
      <c r="K60" s="10"/>
      <c r="L60" s="10"/>
      <c r="M60" s="10"/>
      <c r="N60" s="10"/>
      <c r="O60" s="10"/>
      <c r="P60" s="10"/>
      <c r="Q60" s="10"/>
      <c r="R60" s="26"/>
      <c r="S60" s="10"/>
      <c r="T60" s="10"/>
      <c r="U60" s="13"/>
      <c r="V60" s="10"/>
      <c r="W60" s="23"/>
      <c r="X60" s="10"/>
      <c r="Y60" s="10"/>
      <c r="Z60" s="10"/>
      <c r="AA60" s="10"/>
      <c r="AB60" s="10"/>
      <c r="AC60" s="10"/>
    </row>
    <row r="61" s="2" customFormat="1" spans="1:29">
      <c r="A61" s="10"/>
      <c r="B61" s="11"/>
      <c r="C61" s="10"/>
      <c r="D61" s="10"/>
      <c r="E61" s="12"/>
      <c r="F61" s="10"/>
      <c r="G61" s="13"/>
      <c r="H61" s="17"/>
      <c r="I61" s="10"/>
      <c r="J61" s="10"/>
      <c r="K61" s="10"/>
      <c r="L61" s="10"/>
      <c r="M61" s="10"/>
      <c r="N61" s="10"/>
      <c r="O61" s="10"/>
      <c r="P61" s="10"/>
      <c r="Q61" s="10"/>
      <c r="R61" s="26"/>
      <c r="S61" s="10"/>
      <c r="T61" s="10"/>
      <c r="U61" s="13"/>
      <c r="V61" s="10"/>
      <c r="W61" s="23"/>
      <c r="X61" s="10"/>
      <c r="Y61" s="10"/>
      <c r="Z61" s="10"/>
      <c r="AA61" s="10"/>
      <c r="AB61" s="10"/>
      <c r="AC61" s="10"/>
    </row>
    <row r="62" s="2" customFormat="1" spans="1:29">
      <c r="A62" s="10"/>
      <c r="B62" s="11"/>
      <c r="C62" s="10"/>
      <c r="D62" s="10"/>
      <c r="E62" s="12"/>
      <c r="F62" s="10"/>
      <c r="G62" s="13"/>
      <c r="H62" s="17"/>
      <c r="I62" s="10"/>
      <c r="J62" s="10"/>
      <c r="K62" s="10"/>
      <c r="L62" s="10"/>
      <c r="M62" s="10"/>
      <c r="N62" s="10"/>
      <c r="O62" s="10"/>
      <c r="P62" s="10"/>
      <c r="Q62" s="10"/>
      <c r="R62" s="26"/>
      <c r="S62" s="10"/>
      <c r="T62" s="10"/>
      <c r="U62" s="13"/>
      <c r="V62" s="10"/>
      <c r="W62" s="23"/>
      <c r="X62" s="10"/>
      <c r="Y62" s="10"/>
      <c r="Z62" s="10"/>
      <c r="AA62" s="10"/>
      <c r="AB62" s="10"/>
      <c r="AC62" s="10"/>
    </row>
    <row r="63" s="2" customFormat="1" spans="1:29">
      <c r="A63" s="10"/>
      <c r="B63" s="11"/>
      <c r="C63" s="10"/>
      <c r="D63" s="10"/>
      <c r="E63" s="12"/>
      <c r="F63" s="10"/>
      <c r="G63" s="13"/>
      <c r="H63" s="17"/>
      <c r="I63" s="10"/>
      <c r="J63" s="10"/>
      <c r="K63" s="10"/>
      <c r="L63" s="10"/>
      <c r="M63" s="10"/>
      <c r="N63" s="10"/>
      <c r="O63" s="10"/>
      <c r="P63" s="10"/>
      <c r="Q63" s="10"/>
      <c r="R63" s="26"/>
      <c r="S63" s="10"/>
      <c r="T63" s="10"/>
      <c r="U63" s="13"/>
      <c r="V63" s="10"/>
      <c r="W63" s="23"/>
      <c r="X63" s="10"/>
      <c r="Y63" s="10"/>
      <c r="Z63" s="10"/>
      <c r="AA63" s="10"/>
      <c r="AB63" s="10"/>
      <c r="AC63" s="10"/>
    </row>
    <row r="64" s="2" customFormat="1" spans="1:29">
      <c r="A64" s="10"/>
      <c r="B64" s="11"/>
      <c r="C64" s="10"/>
      <c r="D64" s="10"/>
      <c r="E64" s="12"/>
      <c r="F64" s="10"/>
      <c r="G64" s="13"/>
      <c r="H64" s="17"/>
      <c r="I64" s="10"/>
      <c r="J64" s="10"/>
      <c r="K64" s="10"/>
      <c r="L64" s="10"/>
      <c r="M64" s="10"/>
      <c r="N64" s="10"/>
      <c r="O64" s="10"/>
      <c r="P64" s="10"/>
      <c r="Q64" s="10"/>
      <c r="R64" s="26"/>
      <c r="S64" s="10"/>
      <c r="T64" s="10"/>
      <c r="U64" s="13"/>
      <c r="V64" s="10"/>
      <c r="W64" s="23"/>
      <c r="X64" s="10"/>
      <c r="Y64" s="10"/>
      <c r="Z64" s="10"/>
      <c r="AA64" s="10"/>
      <c r="AB64" s="10"/>
      <c r="AC64" s="10"/>
    </row>
    <row r="65" s="2" customFormat="1" spans="1:29">
      <c r="A65" s="10"/>
      <c r="B65" s="11"/>
      <c r="C65" s="10"/>
      <c r="D65" s="10"/>
      <c r="E65" s="12"/>
      <c r="F65" s="10"/>
      <c r="G65" s="13"/>
      <c r="H65" s="17"/>
      <c r="I65" s="10"/>
      <c r="J65" s="10"/>
      <c r="K65" s="10"/>
      <c r="L65" s="10"/>
      <c r="M65" s="10"/>
      <c r="N65" s="10"/>
      <c r="O65" s="10"/>
      <c r="P65" s="10"/>
      <c r="Q65" s="10"/>
      <c r="R65" s="26"/>
      <c r="S65" s="10"/>
      <c r="T65" s="10"/>
      <c r="U65" s="13"/>
      <c r="V65" s="10"/>
      <c r="W65" s="23"/>
      <c r="X65" s="10"/>
      <c r="Y65" s="10"/>
      <c r="Z65" s="10"/>
      <c r="AA65" s="10"/>
      <c r="AB65" s="10"/>
      <c r="AC65" s="10"/>
    </row>
    <row r="66" s="2" customFormat="1" spans="1:29">
      <c r="A66" s="10"/>
      <c r="B66" s="11"/>
      <c r="C66" s="10"/>
      <c r="D66" s="10"/>
      <c r="E66" s="12"/>
      <c r="F66" s="10"/>
      <c r="G66" s="13"/>
      <c r="H66" s="17"/>
      <c r="I66" s="10"/>
      <c r="J66" s="10"/>
      <c r="K66" s="10"/>
      <c r="L66" s="10"/>
      <c r="M66" s="10"/>
      <c r="N66" s="10"/>
      <c r="O66" s="10"/>
      <c r="P66" s="10"/>
      <c r="Q66" s="10"/>
      <c r="R66" s="26"/>
      <c r="S66" s="10"/>
      <c r="T66" s="10"/>
      <c r="U66" s="13"/>
      <c r="V66" s="10"/>
      <c r="W66" s="23"/>
      <c r="X66" s="10"/>
      <c r="Y66" s="10"/>
      <c r="Z66" s="10"/>
      <c r="AA66" s="10"/>
      <c r="AB66" s="10"/>
      <c r="AC66" s="10"/>
    </row>
    <row r="67" s="2" customFormat="1" spans="1:29">
      <c r="A67" s="10"/>
      <c r="B67" s="10"/>
      <c r="C67" s="28"/>
      <c r="D67" s="29"/>
      <c r="E67" s="30"/>
      <c r="F67" s="29"/>
      <c r="G67" s="29"/>
      <c r="H67" s="31"/>
      <c r="I67" s="34"/>
      <c r="J67" s="34"/>
      <c r="K67" s="34"/>
      <c r="L67" s="34"/>
      <c r="M67" s="34"/>
      <c r="N67" s="34"/>
      <c r="O67" s="34"/>
      <c r="P67" s="34"/>
      <c r="Q67" s="34"/>
      <c r="R67" s="34"/>
      <c r="S67" s="12"/>
      <c r="T67" s="10"/>
      <c r="U67" s="10"/>
      <c r="V67" s="10"/>
      <c r="W67" s="23"/>
      <c r="X67" s="10"/>
      <c r="Y67" s="10"/>
      <c r="Z67" s="10"/>
      <c r="AA67" s="10"/>
      <c r="AB67" s="10"/>
      <c r="AC67" s="10"/>
    </row>
    <row r="68" s="2" customFormat="1" spans="1:29">
      <c r="A68" s="10"/>
      <c r="B68" s="10"/>
      <c r="C68" s="28"/>
      <c r="D68" s="29"/>
      <c r="E68" s="30"/>
      <c r="F68" s="29"/>
      <c r="G68" s="29"/>
      <c r="H68" s="31"/>
      <c r="I68" s="34"/>
      <c r="J68" s="34"/>
      <c r="K68" s="34"/>
      <c r="L68" s="34"/>
      <c r="M68" s="34"/>
      <c r="N68" s="34"/>
      <c r="O68" s="34"/>
      <c r="P68" s="34"/>
      <c r="Q68" s="34"/>
      <c r="R68" s="34"/>
      <c r="S68" s="12"/>
      <c r="T68" s="10"/>
      <c r="U68" s="10"/>
      <c r="V68" s="10"/>
      <c r="W68" s="23"/>
      <c r="X68" s="10"/>
      <c r="Y68" s="10"/>
      <c r="Z68" s="10"/>
      <c r="AA68" s="10"/>
      <c r="AB68" s="10"/>
      <c r="AC68" s="10"/>
    </row>
    <row r="69" s="2" customFormat="1" spans="1:29">
      <c r="A69" s="10"/>
      <c r="B69" s="10"/>
      <c r="C69" s="28"/>
      <c r="D69" s="29"/>
      <c r="E69" s="30"/>
      <c r="F69" s="29"/>
      <c r="G69" s="29"/>
      <c r="H69" s="31"/>
      <c r="I69" s="34"/>
      <c r="J69" s="34"/>
      <c r="K69" s="34"/>
      <c r="L69" s="34"/>
      <c r="M69" s="34"/>
      <c r="N69" s="34"/>
      <c r="O69" s="34"/>
      <c r="P69" s="34"/>
      <c r="Q69" s="34"/>
      <c r="R69" s="34"/>
      <c r="S69" s="12"/>
      <c r="T69" s="10"/>
      <c r="U69" s="10"/>
      <c r="V69" s="10"/>
      <c r="W69" s="23"/>
      <c r="X69" s="10"/>
      <c r="Y69" s="10"/>
      <c r="Z69" s="10"/>
      <c r="AA69" s="10"/>
      <c r="AB69" s="10"/>
      <c r="AC69" s="10"/>
    </row>
    <row r="70" s="2" customFormat="1" spans="1:29">
      <c r="A70" s="10"/>
      <c r="B70" s="10"/>
      <c r="C70" s="28"/>
      <c r="D70" s="29"/>
      <c r="E70" s="30"/>
      <c r="F70" s="29"/>
      <c r="G70" s="29"/>
      <c r="H70" s="31"/>
      <c r="I70" s="34"/>
      <c r="J70" s="34"/>
      <c r="K70" s="34"/>
      <c r="L70" s="34"/>
      <c r="M70" s="34"/>
      <c r="N70" s="34"/>
      <c r="O70" s="34"/>
      <c r="P70" s="34"/>
      <c r="Q70" s="34"/>
      <c r="R70" s="34"/>
      <c r="S70" s="12"/>
      <c r="T70" s="10"/>
      <c r="U70" s="10"/>
      <c r="V70" s="10"/>
      <c r="W70" s="23"/>
      <c r="X70" s="10"/>
      <c r="Y70" s="10"/>
      <c r="Z70" s="10"/>
      <c r="AA70" s="10"/>
      <c r="AB70" s="10"/>
      <c r="AC70" s="10"/>
    </row>
    <row r="71" s="2" customFormat="1" spans="1:29">
      <c r="A71" s="10"/>
      <c r="B71" s="10"/>
      <c r="C71" s="28"/>
      <c r="D71" s="29"/>
      <c r="E71" s="30"/>
      <c r="F71" s="29"/>
      <c r="G71" s="29"/>
      <c r="H71" s="31"/>
      <c r="I71" s="34"/>
      <c r="J71" s="34"/>
      <c r="K71" s="34"/>
      <c r="L71" s="34"/>
      <c r="M71" s="34"/>
      <c r="N71" s="34"/>
      <c r="O71" s="34"/>
      <c r="P71" s="34"/>
      <c r="Q71" s="34"/>
      <c r="R71" s="34"/>
      <c r="S71" s="12"/>
      <c r="T71" s="10"/>
      <c r="U71" s="10"/>
      <c r="V71" s="10"/>
      <c r="W71" s="23"/>
      <c r="X71" s="10"/>
      <c r="Y71" s="10"/>
      <c r="Z71" s="10"/>
      <c r="AA71" s="10"/>
      <c r="AB71" s="10"/>
      <c r="AC71" s="10"/>
    </row>
    <row r="72" s="2" customFormat="1" spans="1:29">
      <c r="A72" s="10"/>
      <c r="B72" s="10"/>
      <c r="C72" s="28"/>
      <c r="D72" s="29"/>
      <c r="E72" s="30"/>
      <c r="F72" s="29"/>
      <c r="G72" s="29"/>
      <c r="H72" s="31"/>
      <c r="I72" s="34"/>
      <c r="J72" s="34"/>
      <c r="K72" s="34"/>
      <c r="L72" s="34"/>
      <c r="M72" s="34"/>
      <c r="N72" s="34"/>
      <c r="O72" s="34"/>
      <c r="P72" s="34"/>
      <c r="Q72" s="34"/>
      <c r="R72" s="34"/>
      <c r="S72" s="12"/>
      <c r="T72" s="10"/>
      <c r="U72" s="10"/>
      <c r="V72" s="10"/>
      <c r="W72" s="23"/>
      <c r="X72" s="10"/>
      <c r="Y72" s="10"/>
      <c r="Z72" s="10"/>
      <c r="AA72" s="10"/>
      <c r="AB72" s="10"/>
      <c r="AC72" s="10"/>
    </row>
    <row r="73" s="2" customFormat="1" spans="1:29">
      <c r="A73" s="10"/>
      <c r="B73" s="10"/>
      <c r="C73" s="28"/>
      <c r="D73" s="29"/>
      <c r="E73" s="30"/>
      <c r="F73" s="28"/>
      <c r="G73" s="29"/>
      <c r="H73" s="31"/>
      <c r="I73" s="34"/>
      <c r="J73" s="34"/>
      <c r="K73" s="34"/>
      <c r="L73" s="34"/>
      <c r="M73" s="34"/>
      <c r="N73" s="34"/>
      <c r="O73" s="34"/>
      <c r="P73" s="34"/>
      <c r="Q73" s="34"/>
      <c r="R73" s="34"/>
      <c r="S73" s="12"/>
      <c r="T73" s="10"/>
      <c r="U73" s="10"/>
      <c r="V73" s="10"/>
      <c r="W73" s="23"/>
      <c r="X73" s="10"/>
      <c r="Y73" s="10"/>
      <c r="Z73" s="10"/>
      <c r="AA73" s="10"/>
      <c r="AB73" s="10"/>
      <c r="AC73" s="10"/>
    </row>
    <row r="74" s="2" customFormat="1" spans="1:29">
      <c r="A74" s="10"/>
      <c r="B74" s="10"/>
      <c r="C74" s="28"/>
      <c r="D74" s="29"/>
      <c r="E74" s="30"/>
      <c r="F74" s="29"/>
      <c r="G74" s="29"/>
      <c r="H74" s="31"/>
      <c r="I74" s="34"/>
      <c r="J74" s="34"/>
      <c r="K74" s="34"/>
      <c r="L74" s="34"/>
      <c r="M74" s="34"/>
      <c r="N74" s="34"/>
      <c r="O74" s="34"/>
      <c r="P74" s="34"/>
      <c r="Q74" s="34"/>
      <c r="R74" s="34"/>
      <c r="S74" s="12"/>
      <c r="T74" s="10"/>
      <c r="U74" s="10"/>
      <c r="V74" s="10"/>
      <c r="W74" s="23"/>
      <c r="X74" s="10"/>
      <c r="Y74" s="10"/>
      <c r="Z74" s="10"/>
      <c r="AA74" s="10"/>
      <c r="AB74" s="10"/>
      <c r="AC74" s="10"/>
    </row>
    <row r="75" s="2" customFormat="1" spans="1:29">
      <c r="A75" s="10"/>
      <c r="B75" s="10"/>
      <c r="C75" s="28"/>
      <c r="D75" s="29"/>
      <c r="E75" s="30"/>
      <c r="F75" s="28"/>
      <c r="G75" s="29"/>
      <c r="H75" s="31"/>
      <c r="I75" s="34"/>
      <c r="J75" s="34"/>
      <c r="K75" s="34"/>
      <c r="L75" s="34"/>
      <c r="M75" s="34"/>
      <c r="N75" s="34"/>
      <c r="O75" s="34"/>
      <c r="P75" s="34"/>
      <c r="Q75" s="34"/>
      <c r="R75" s="34"/>
      <c r="S75" s="12"/>
      <c r="T75" s="10"/>
      <c r="U75" s="10"/>
      <c r="V75" s="10"/>
      <c r="W75" s="23"/>
      <c r="X75" s="10"/>
      <c r="Y75" s="10"/>
      <c r="Z75" s="10"/>
      <c r="AA75" s="10"/>
      <c r="AB75" s="10"/>
      <c r="AC75" s="10"/>
    </row>
    <row r="76" s="2" customFormat="1" spans="1:29">
      <c r="A76" s="10"/>
      <c r="B76" s="10"/>
      <c r="C76" s="28"/>
      <c r="D76" s="29"/>
      <c r="E76" s="30"/>
      <c r="F76" s="28"/>
      <c r="G76" s="29"/>
      <c r="H76" s="31"/>
      <c r="I76" s="34"/>
      <c r="J76" s="34"/>
      <c r="K76" s="34"/>
      <c r="L76" s="34"/>
      <c r="M76" s="34"/>
      <c r="N76" s="34"/>
      <c r="O76" s="34"/>
      <c r="P76" s="34"/>
      <c r="Q76" s="34"/>
      <c r="R76" s="34"/>
      <c r="S76" s="12"/>
      <c r="T76" s="10"/>
      <c r="U76" s="10"/>
      <c r="V76" s="10"/>
      <c r="W76" s="23"/>
      <c r="X76" s="10"/>
      <c r="Y76" s="10"/>
      <c r="Z76" s="10"/>
      <c r="AA76" s="10"/>
      <c r="AB76" s="10"/>
      <c r="AC76" s="10"/>
    </row>
    <row r="77" s="2" customFormat="1" spans="1:29">
      <c r="A77" s="10"/>
      <c r="B77" s="10"/>
      <c r="C77" s="28"/>
      <c r="D77" s="29"/>
      <c r="E77" s="30"/>
      <c r="F77" s="28"/>
      <c r="G77" s="29"/>
      <c r="H77" s="31"/>
      <c r="I77" s="34"/>
      <c r="J77" s="34"/>
      <c r="K77" s="34"/>
      <c r="L77" s="34"/>
      <c r="M77" s="34"/>
      <c r="N77" s="34"/>
      <c r="O77" s="34"/>
      <c r="P77" s="34"/>
      <c r="Q77" s="34"/>
      <c r="R77" s="34"/>
      <c r="S77" s="12"/>
      <c r="T77" s="10"/>
      <c r="U77" s="10"/>
      <c r="V77" s="10"/>
      <c r="W77" s="23"/>
      <c r="X77" s="10"/>
      <c r="Y77" s="10"/>
      <c r="Z77" s="10"/>
      <c r="AA77" s="10"/>
      <c r="AB77" s="10"/>
      <c r="AC77" s="10"/>
    </row>
    <row r="78" s="2" customFormat="1" spans="1:29">
      <c r="A78" s="10"/>
      <c r="B78" s="10"/>
      <c r="C78" s="28"/>
      <c r="D78" s="29"/>
      <c r="E78" s="30"/>
      <c r="F78" s="28"/>
      <c r="G78" s="29"/>
      <c r="H78" s="31"/>
      <c r="I78" s="34"/>
      <c r="J78" s="34"/>
      <c r="K78" s="34"/>
      <c r="L78" s="34"/>
      <c r="M78" s="34"/>
      <c r="N78" s="34"/>
      <c r="O78" s="34"/>
      <c r="P78" s="34"/>
      <c r="Q78" s="34"/>
      <c r="R78" s="34"/>
      <c r="S78" s="12"/>
      <c r="T78" s="10"/>
      <c r="U78" s="10"/>
      <c r="V78" s="10"/>
      <c r="W78" s="23"/>
      <c r="X78" s="10"/>
      <c r="Y78" s="10"/>
      <c r="Z78" s="10"/>
      <c r="AA78" s="10"/>
      <c r="AB78" s="10"/>
      <c r="AC78" s="10"/>
    </row>
    <row r="79" s="2" customFormat="1" spans="1:29">
      <c r="A79" s="10"/>
      <c r="B79" s="10"/>
      <c r="C79" s="28"/>
      <c r="D79" s="29"/>
      <c r="E79" s="30"/>
      <c r="F79" s="28"/>
      <c r="G79" s="29"/>
      <c r="H79" s="31"/>
      <c r="I79" s="34"/>
      <c r="J79" s="34"/>
      <c r="K79" s="34"/>
      <c r="L79" s="34"/>
      <c r="M79" s="34"/>
      <c r="N79" s="34"/>
      <c r="O79" s="34"/>
      <c r="P79" s="34"/>
      <c r="Q79" s="34"/>
      <c r="R79" s="34"/>
      <c r="S79" s="12"/>
      <c r="T79" s="10"/>
      <c r="U79" s="10"/>
      <c r="V79" s="10"/>
      <c r="W79" s="23"/>
      <c r="X79" s="10"/>
      <c r="Y79" s="10"/>
      <c r="Z79" s="10"/>
      <c r="AA79" s="10"/>
      <c r="AB79" s="10"/>
      <c r="AC79" s="10"/>
    </row>
    <row r="80" s="2" customFormat="1" spans="1:29">
      <c r="A80" s="10"/>
      <c r="B80" s="10"/>
      <c r="C80" s="28"/>
      <c r="D80" s="29"/>
      <c r="E80" s="30"/>
      <c r="F80" s="28"/>
      <c r="G80" s="29"/>
      <c r="H80" s="31"/>
      <c r="I80" s="34"/>
      <c r="J80" s="34"/>
      <c r="K80" s="34"/>
      <c r="L80" s="34"/>
      <c r="M80" s="34"/>
      <c r="N80" s="34"/>
      <c r="O80" s="34"/>
      <c r="P80" s="34"/>
      <c r="Q80" s="34"/>
      <c r="R80" s="34"/>
      <c r="S80" s="12"/>
      <c r="T80" s="10"/>
      <c r="U80" s="10"/>
      <c r="V80" s="10"/>
      <c r="W80" s="23"/>
      <c r="X80" s="10"/>
      <c r="Y80" s="10"/>
      <c r="Z80" s="10"/>
      <c r="AA80" s="10"/>
      <c r="AB80" s="10"/>
      <c r="AC80" s="10"/>
    </row>
    <row r="81" s="2" customFormat="1" spans="1:29">
      <c r="A81" s="10"/>
      <c r="B81" s="10"/>
      <c r="C81" s="28"/>
      <c r="D81" s="29"/>
      <c r="E81" s="30"/>
      <c r="F81" s="28"/>
      <c r="G81" s="29"/>
      <c r="H81" s="31"/>
      <c r="I81" s="34"/>
      <c r="J81" s="34"/>
      <c r="K81" s="34"/>
      <c r="L81" s="34"/>
      <c r="M81" s="34"/>
      <c r="N81" s="34"/>
      <c r="O81" s="34"/>
      <c r="P81" s="34"/>
      <c r="Q81" s="34"/>
      <c r="R81" s="34"/>
      <c r="S81" s="12"/>
      <c r="T81" s="10"/>
      <c r="U81" s="10"/>
      <c r="V81" s="10"/>
      <c r="W81" s="23"/>
      <c r="X81" s="10"/>
      <c r="Y81" s="10"/>
      <c r="Z81" s="10"/>
      <c r="AA81" s="10"/>
      <c r="AB81" s="10"/>
      <c r="AC81" s="10"/>
    </row>
    <row r="82" s="2" customFormat="1" spans="1:29">
      <c r="A82" s="10"/>
      <c r="B82" s="10"/>
      <c r="C82" s="28"/>
      <c r="D82" s="29"/>
      <c r="E82" s="30"/>
      <c r="F82" s="28"/>
      <c r="G82" s="29"/>
      <c r="H82" s="31"/>
      <c r="I82" s="34"/>
      <c r="J82" s="34"/>
      <c r="K82" s="34"/>
      <c r="L82" s="34"/>
      <c r="M82" s="34"/>
      <c r="N82" s="34"/>
      <c r="O82" s="34"/>
      <c r="P82" s="34"/>
      <c r="Q82" s="34"/>
      <c r="R82" s="34"/>
      <c r="S82" s="12"/>
      <c r="T82" s="10"/>
      <c r="U82" s="10"/>
      <c r="V82" s="10"/>
      <c r="W82" s="23"/>
      <c r="X82" s="10"/>
      <c r="Y82" s="10"/>
      <c r="Z82" s="10"/>
      <c r="AA82" s="10"/>
      <c r="AB82" s="10"/>
      <c r="AC82" s="10"/>
    </row>
    <row r="83" s="2" customFormat="1" spans="1:29">
      <c r="A83" s="10"/>
      <c r="B83" s="10"/>
      <c r="C83" s="28"/>
      <c r="D83" s="29"/>
      <c r="E83" s="30"/>
      <c r="F83" s="28"/>
      <c r="G83" s="29"/>
      <c r="H83" s="31"/>
      <c r="I83" s="34"/>
      <c r="J83" s="34"/>
      <c r="K83" s="34"/>
      <c r="L83" s="34"/>
      <c r="M83" s="34"/>
      <c r="N83" s="34"/>
      <c r="O83" s="34"/>
      <c r="P83" s="34"/>
      <c r="Q83" s="34"/>
      <c r="R83" s="34"/>
      <c r="S83" s="12"/>
      <c r="T83" s="10"/>
      <c r="U83" s="10"/>
      <c r="V83" s="10"/>
      <c r="W83" s="23"/>
      <c r="X83" s="10"/>
      <c r="Y83" s="10"/>
      <c r="Z83" s="10"/>
      <c r="AA83" s="10"/>
      <c r="AB83" s="10"/>
      <c r="AC83" s="10"/>
    </row>
    <row r="84" s="2" customFormat="1" spans="1:29">
      <c r="A84" s="10"/>
      <c r="B84" s="10"/>
      <c r="C84" s="28"/>
      <c r="D84" s="29"/>
      <c r="E84" s="30"/>
      <c r="F84" s="28"/>
      <c r="G84" s="29"/>
      <c r="H84" s="31"/>
      <c r="I84" s="34"/>
      <c r="J84" s="34"/>
      <c r="K84" s="34"/>
      <c r="L84" s="34"/>
      <c r="M84" s="34"/>
      <c r="N84" s="34"/>
      <c r="O84" s="34"/>
      <c r="P84" s="34"/>
      <c r="Q84" s="34"/>
      <c r="R84" s="34"/>
      <c r="S84" s="12"/>
      <c r="T84" s="10"/>
      <c r="U84" s="10"/>
      <c r="V84" s="10"/>
      <c r="W84" s="23"/>
      <c r="X84" s="10"/>
      <c r="Y84" s="10"/>
      <c r="Z84" s="10"/>
      <c r="AA84" s="10"/>
      <c r="AB84" s="10"/>
      <c r="AC84" s="10"/>
    </row>
    <row r="85" s="2" customFormat="1" spans="1:29">
      <c r="A85" s="10"/>
      <c r="B85" s="10"/>
      <c r="C85" s="28"/>
      <c r="D85" s="29"/>
      <c r="E85" s="30"/>
      <c r="F85" s="28"/>
      <c r="G85" s="29"/>
      <c r="H85" s="31"/>
      <c r="I85" s="34"/>
      <c r="J85" s="34"/>
      <c r="K85" s="34"/>
      <c r="L85" s="34"/>
      <c r="M85" s="34"/>
      <c r="N85" s="34"/>
      <c r="O85" s="34"/>
      <c r="P85" s="34"/>
      <c r="Q85" s="34"/>
      <c r="R85" s="34"/>
      <c r="S85" s="12"/>
      <c r="T85" s="10"/>
      <c r="U85" s="10"/>
      <c r="V85" s="10"/>
      <c r="W85" s="23"/>
      <c r="X85" s="10"/>
      <c r="Y85" s="10"/>
      <c r="Z85" s="10"/>
      <c r="AA85" s="10"/>
      <c r="AB85" s="10"/>
      <c r="AC85" s="10"/>
    </row>
    <row r="86" s="2" customFormat="1" spans="1:29">
      <c r="A86" s="10"/>
      <c r="B86" s="10"/>
      <c r="C86" s="28"/>
      <c r="D86" s="29"/>
      <c r="E86" s="30"/>
      <c r="F86" s="28"/>
      <c r="G86" s="29"/>
      <c r="H86" s="31"/>
      <c r="I86" s="34"/>
      <c r="J86" s="34"/>
      <c r="K86" s="34"/>
      <c r="L86" s="34"/>
      <c r="M86" s="34"/>
      <c r="N86" s="34"/>
      <c r="O86" s="34"/>
      <c r="P86" s="34"/>
      <c r="Q86" s="34"/>
      <c r="R86" s="34"/>
      <c r="S86" s="35"/>
      <c r="T86" s="10"/>
      <c r="U86" s="10"/>
      <c r="V86" s="10"/>
      <c r="W86" s="23"/>
      <c r="X86" s="10"/>
      <c r="Y86" s="10"/>
      <c r="Z86" s="10"/>
      <c r="AA86" s="10"/>
      <c r="AB86" s="10"/>
      <c r="AC86" s="10"/>
    </row>
    <row r="87" s="2" customFormat="1" spans="1:29">
      <c r="A87" s="10"/>
      <c r="B87" s="10"/>
      <c r="C87" s="28"/>
      <c r="D87" s="29"/>
      <c r="E87" s="30"/>
      <c r="F87" s="28"/>
      <c r="G87" s="29"/>
      <c r="H87" s="31"/>
      <c r="I87" s="34"/>
      <c r="J87" s="34"/>
      <c r="K87" s="34"/>
      <c r="L87" s="34"/>
      <c r="M87" s="34"/>
      <c r="N87" s="34"/>
      <c r="O87" s="34"/>
      <c r="P87" s="34"/>
      <c r="Q87" s="34"/>
      <c r="R87" s="34"/>
      <c r="S87" s="35"/>
      <c r="T87" s="10"/>
      <c r="U87" s="10"/>
      <c r="V87" s="10"/>
      <c r="W87" s="23"/>
      <c r="X87" s="10"/>
      <c r="Y87" s="10"/>
      <c r="Z87" s="10"/>
      <c r="AA87" s="10"/>
      <c r="AB87" s="10"/>
      <c r="AC87" s="10"/>
    </row>
    <row r="88" s="2" customFormat="1" spans="1:29">
      <c r="A88" s="10"/>
      <c r="B88" s="10"/>
      <c r="C88" s="28"/>
      <c r="D88" s="29"/>
      <c r="E88" s="30"/>
      <c r="F88" s="28"/>
      <c r="G88" s="29"/>
      <c r="H88" s="31"/>
      <c r="I88" s="34"/>
      <c r="J88" s="34"/>
      <c r="K88" s="34"/>
      <c r="L88" s="34"/>
      <c r="M88" s="34"/>
      <c r="N88" s="34"/>
      <c r="O88" s="34"/>
      <c r="P88" s="34"/>
      <c r="Q88" s="34"/>
      <c r="R88" s="34"/>
      <c r="S88" s="12"/>
      <c r="T88" s="10"/>
      <c r="U88" s="10"/>
      <c r="V88" s="10"/>
      <c r="W88" s="23"/>
      <c r="X88" s="10"/>
      <c r="Y88" s="10"/>
      <c r="Z88" s="10"/>
      <c r="AA88" s="10"/>
      <c r="AB88" s="10"/>
      <c r="AC88" s="10"/>
    </row>
    <row r="89" s="2" customFormat="1" spans="1:29">
      <c r="A89" s="10"/>
      <c r="B89" s="10"/>
      <c r="C89" s="28"/>
      <c r="D89" s="29"/>
      <c r="E89" s="30"/>
      <c r="F89" s="28"/>
      <c r="G89" s="29"/>
      <c r="H89" s="31"/>
      <c r="I89" s="34"/>
      <c r="J89" s="34"/>
      <c r="K89" s="34"/>
      <c r="L89" s="34"/>
      <c r="M89" s="34"/>
      <c r="N89" s="34"/>
      <c r="O89" s="34"/>
      <c r="P89" s="34"/>
      <c r="Q89" s="34"/>
      <c r="R89" s="34"/>
      <c r="S89" s="12"/>
      <c r="T89" s="10"/>
      <c r="U89" s="10"/>
      <c r="V89" s="10"/>
      <c r="W89" s="23"/>
      <c r="X89" s="10"/>
      <c r="Y89" s="10"/>
      <c r="Z89" s="10"/>
      <c r="AA89" s="10"/>
      <c r="AB89" s="10"/>
      <c r="AC89" s="10"/>
    </row>
    <row r="90" s="2" customFormat="1" spans="1:29">
      <c r="A90" s="10"/>
      <c r="B90" s="10"/>
      <c r="C90" s="28"/>
      <c r="D90" s="29"/>
      <c r="E90" s="30"/>
      <c r="F90" s="28"/>
      <c r="G90" s="28"/>
      <c r="H90" s="32"/>
      <c r="I90" s="34"/>
      <c r="J90" s="34"/>
      <c r="K90" s="34"/>
      <c r="L90" s="34"/>
      <c r="M90" s="34"/>
      <c r="N90" s="34"/>
      <c r="O90" s="34"/>
      <c r="P90" s="34"/>
      <c r="Q90" s="34"/>
      <c r="R90" s="34"/>
      <c r="S90" s="12"/>
      <c r="T90" s="10"/>
      <c r="U90" s="10"/>
      <c r="V90" s="10"/>
      <c r="W90" s="23"/>
      <c r="X90" s="10"/>
      <c r="Y90" s="10"/>
      <c r="Z90" s="10"/>
      <c r="AA90" s="10"/>
      <c r="AB90" s="10"/>
      <c r="AC90" s="10"/>
    </row>
    <row r="91" s="2" customFormat="1" spans="1:29">
      <c r="A91" s="10"/>
      <c r="B91" s="10"/>
      <c r="C91" s="28"/>
      <c r="D91" s="29"/>
      <c r="E91" s="30"/>
      <c r="F91" s="28"/>
      <c r="G91" s="28"/>
      <c r="H91" s="32"/>
      <c r="I91" s="34"/>
      <c r="J91" s="34"/>
      <c r="K91" s="34"/>
      <c r="L91" s="34"/>
      <c r="M91" s="34"/>
      <c r="N91" s="34"/>
      <c r="O91" s="34"/>
      <c r="P91" s="34"/>
      <c r="Q91" s="34"/>
      <c r="R91" s="34"/>
      <c r="S91" s="12"/>
      <c r="T91" s="10"/>
      <c r="U91" s="10"/>
      <c r="V91" s="10"/>
      <c r="W91" s="23"/>
      <c r="X91" s="10"/>
      <c r="Y91" s="10"/>
      <c r="Z91" s="10"/>
      <c r="AA91" s="10"/>
      <c r="AB91" s="10"/>
      <c r="AC91" s="10"/>
    </row>
    <row r="92" s="2" customFormat="1" spans="1:29">
      <c r="A92" s="10"/>
      <c r="B92" s="10"/>
      <c r="C92" s="28"/>
      <c r="D92" s="29"/>
      <c r="E92" s="30"/>
      <c r="F92" s="28"/>
      <c r="G92" s="28"/>
      <c r="H92" s="32"/>
      <c r="I92" s="34"/>
      <c r="J92" s="34"/>
      <c r="K92" s="34"/>
      <c r="L92" s="34"/>
      <c r="M92" s="34"/>
      <c r="N92" s="34"/>
      <c r="O92" s="34"/>
      <c r="P92" s="34"/>
      <c r="Q92" s="34"/>
      <c r="R92" s="34"/>
      <c r="S92" s="12"/>
      <c r="T92" s="10"/>
      <c r="U92" s="10"/>
      <c r="V92" s="10"/>
      <c r="W92" s="23"/>
      <c r="X92" s="10"/>
      <c r="Y92" s="10"/>
      <c r="Z92" s="10"/>
      <c r="AA92" s="10"/>
      <c r="AB92" s="10"/>
      <c r="AC92" s="10"/>
    </row>
    <row r="93" s="2" customFormat="1" spans="1:29">
      <c r="A93" s="10"/>
      <c r="B93" s="10"/>
      <c r="C93" s="28"/>
      <c r="D93" s="29"/>
      <c r="E93" s="30"/>
      <c r="F93" s="28"/>
      <c r="G93" s="28"/>
      <c r="H93" s="32"/>
      <c r="I93" s="34"/>
      <c r="J93" s="34"/>
      <c r="K93" s="34"/>
      <c r="L93" s="34"/>
      <c r="M93" s="34"/>
      <c r="N93" s="34"/>
      <c r="O93" s="34"/>
      <c r="P93" s="34"/>
      <c r="Q93" s="34"/>
      <c r="R93" s="34"/>
      <c r="S93" s="12"/>
      <c r="T93" s="10"/>
      <c r="U93" s="10"/>
      <c r="V93" s="10"/>
      <c r="W93" s="23"/>
      <c r="X93" s="10"/>
      <c r="Y93" s="10"/>
      <c r="Z93" s="10"/>
      <c r="AA93" s="10"/>
      <c r="AB93" s="10"/>
      <c r="AC93" s="10"/>
    </row>
    <row r="94" s="2" customFormat="1" spans="1:29">
      <c r="A94" s="10"/>
      <c r="B94" s="10"/>
      <c r="C94" s="28"/>
      <c r="D94" s="29"/>
      <c r="E94" s="30"/>
      <c r="F94" s="28"/>
      <c r="G94" s="28"/>
      <c r="H94" s="32"/>
      <c r="I94" s="34"/>
      <c r="J94" s="34"/>
      <c r="K94" s="34"/>
      <c r="L94" s="34"/>
      <c r="M94" s="34"/>
      <c r="N94" s="34"/>
      <c r="O94" s="34"/>
      <c r="P94" s="34"/>
      <c r="Q94" s="34"/>
      <c r="R94" s="34"/>
      <c r="S94" s="12"/>
      <c r="T94" s="10"/>
      <c r="U94" s="10"/>
      <c r="V94" s="10"/>
      <c r="W94" s="23"/>
      <c r="X94" s="10"/>
      <c r="Y94" s="10"/>
      <c r="Z94" s="10"/>
      <c r="AA94" s="10"/>
      <c r="AB94" s="10"/>
      <c r="AC94" s="10"/>
    </row>
    <row r="95" s="2" customFormat="1" spans="1:29">
      <c r="A95" s="10"/>
      <c r="B95" s="10"/>
      <c r="C95" s="28"/>
      <c r="D95" s="29"/>
      <c r="E95" s="30"/>
      <c r="F95" s="28"/>
      <c r="G95" s="28"/>
      <c r="H95" s="32"/>
      <c r="I95" s="34"/>
      <c r="J95" s="34"/>
      <c r="K95" s="34"/>
      <c r="L95" s="34"/>
      <c r="M95" s="34"/>
      <c r="N95" s="34"/>
      <c r="O95" s="34"/>
      <c r="P95" s="34"/>
      <c r="Q95" s="34"/>
      <c r="R95" s="34"/>
      <c r="S95" s="12"/>
      <c r="T95" s="10"/>
      <c r="U95" s="10"/>
      <c r="V95" s="10"/>
      <c r="W95" s="23"/>
      <c r="X95" s="10"/>
      <c r="Y95" s="10"/>
      <c r="Z95" s="10"/>
      <c r="AA95" s="10"/>
      <c r="AB95" s="10"/>
      <c r="AC95" s="10"/>
    </row>
    <row r="96" s="2" customFormat="1" spans="1:29">
      <c r="A96" s="10"/>
      <c r="B96" s="10"/>
      <c r="C96" s="28"/>
      <c r="D96" s="29"/>
      <c r="E96" s="30"/>
      <c r="F96" s="28"/>
      <c r="G96" s="29"/>
      <c r="H96" s="32"/>
      <c r="I96" s="34"/>
      <c r="J96" s="34"/>
      <c r="K96" s="34"/>
      <c r="L96" s="34"/>
      <c r="M96" s="34"/>
      <c r="N96" s="34"/>
      <c r="O96" s="34"/>
      <c r="P96" s="34"/>
      <c r="Q96" s="34"/>
      <c r="R96" s="34"/>
      <c r="S96" s="12"/>
      <c r="T96" s="10"/>
      <c r="U96" s="10"/>
      <c r="V96" s="10"/>
      <c r="W96" s="23"/>
      <c r="X96" s="10"/>
      <c r="Y96" s="10"/>
      <c r="Z96" s="10"/>
      <c r="AA96" s="10"/>
      <c r="AB96" s="10"/>
      <c r="AC96" s="10"/>
    </row>
    <row r="97" s="2" customFormat="1" spans="1:29">
      <c r="A97" s="10"/>
      <c r="B97" s="10"/>
      <c r="C97" s="28"/>
      <c r="D97" s="29"/>
      <c r="E97" s="30"/>
      <c r="F97" s="28"/>
      <c r="G97" s="28"/>
      <c r="H97" s="32"/>
      <c r="I97" s="34"/>
      <c r="J97" s="34"/>
      <c r="K97" s="34"/>
      <c r="L97" s="34"/>
      <c r="M97" s="34"/>
      <c r="N97" s="34"/>
      <c r="O97" s="34"/>
      <c r="P97" s="34"/>
      <c r="Q97" s="34"/>
      <c r="R97" s="34"/>
      <c r="S97" s="12"/>
      <c r="T97" s="10"/>
      <c r="U97" s="10"/>
      <c r="V97" s="10"/>
      <c r="W97" s="23"/>
      <c r="X97" s="10"/>
      <c r="Y97" s="10"/>
      <c r="Z97" s="10"/>
      <c r="AA97" s="10"/>
      <c r="AB97" s="10"/>
      <c r="AC97" s="10"/>
    </row>
    <row r="98" s="2" customFormat="1" spans="1:29">
      <c r="A98" s="10"/>
      <c r="B98" s="10"/>
      <c r="C98" s="28"/>
      <c r="D98" s="29"/>
      <c r="E98" s="30"/>
      <c r="F98" s="28"/>
      <c r="G98" s="28"/>
      <c r="H98" s="32"/>
      <c r="I98" s="34"/>
      <c r="J98" s="34"/>
      <c r="K98" s="34"/>
      <c r="L98" s="34"/>
      <c r="M98" s="34"/>
      <c r="N98" s="34"/>
      <c r="O98" s="34"/>
      <c r="P98" s="34"/>
      <c r="Q98" s="34"/>
      <c r="R98" s="34"/>
      <c r="S98" s="12"/>
      <c r="T98" s="10"/>
      <c r="U98" s="10"/>
      <c r="V98" s="10"/>
      <c r="W98" s="23"/>
      <c r="X98" s="10"/>
      <c r="Y98" s="10"/>
      <c r="Z98" s="10"/>
      <c r="AA98" s="10"/>
      <c r="AB98" s="10"/>
      <c r="AC98" s="10"/>
    </row>
    <row r="99" s="2" customFormat="1" spans="1:29">
      <c r="A99" s="10"/>
      <c r="B99" s="10"/>
      <c r="C99" s="28"/>
      <c r="D99" s="29"/>
      <c r="E99" s="30"/>
      <c r="F99" s="28"/>
      <c r="G99" s="28"/>
      <c r="H99" s="32"/>
      <c r="I99" s="34"/>
      <c r="J99" s="34"/>
      <c r="K99" s="34"/>
      <c r="L99" s="34"/>
      <c r="M99" s="34"/>
      <c r="N99" s="34"/>
      <c r="O99" s="34"/>
      <c r="P99" s="34"/>
      <c r="Q99" s="34"/>
      <c r="R99" s="34"/>
      <c r="S99" s="12"/>
      <c r="T99" s="10"/>
      <c r="U99" s="10"/>
      <c r="V99" s="10"/>
      <c r="W99" s="23"/>
      <c r="X99" s="10"/>
      <c r="Y99" s="10"/>
      <c r="Z99" s="10"/>
      <c r="AA99" s="10"/>
      <c r="AB99" s="10"/>
      <c r="AC99" s="10"/>
    </row>
    <row r="100" s="2" customFormat="1" spans="1:29">
      <c r="A100" s="10"/>
      <c r="B100" s="10"/>
      <c r="C100" s="28"/>
      <c r="D100" s="29"/>
      <c r="E100" s="30"/>
      <c r="F100" s="28"/>
      <c r="G100" s="28"/>
      <c r="H100" s="32"/>
      <c r="I100" s="34"/>
      <c r="J100" s="34"/>
      <c r="K100" s="34"/>
      <c r="L100" s="34"/>
      <c r="M100" s="34"/>
      <c r="N100" s="34"/>
      <c r="O100" s="34"/>
      <c r="P100" s="34"/>
      <c r="Q100" s="34"/>
      <c r="R100" s="34"/>
      <c r="S100" s="12"/>
      <c r="T100" s="10"/>
      <c r="U100" s="10"/>
      <c r="V100" s="10"/>
      <c r="W100" s="23"/>
      <c r="X100" s="10"/>
      <c r="Y100" s="10"/>
      <c r="Z100" s="10"/>
      <c r="AA100" s="10"/>
      <c r="AB100" s="10"/>
      <c r="AC100" s="10"/>
    </row>
    <row r="101" s="2" customFormat="1" spans="1:29">
      <c r="A101" s="10"/>
      <c r="B101" s="10"/>
      <c r="C101" s="28"/>
      <c r="D101" s="29"/>
      <c r="E101" s="30"/>
      <c r="F101" s="28"/>
      <c r="G101" s="28"/>
      <c r="H101" s="32"/>
      <c r="I101" s="34"/>
      <c r="J101" s="34"/>
      <c r="K101" s="34"/>
      <c r="L101" s="34"/>
      <c r="M101" s="34"/>
      <c r="N101" s="34"/>
      <c r="O101" s="34"/>
      <c r="P101" s="34"/>
      <c r="Q101" s="34"/>
      <c r="R101" s="34"/>
      <c r="S101" s="12"/>
      <c r="T101" s="10"/>
      <c r="U101" s="10"/>
      <c r="V101" s="10"/>
      <c r="W101" s="23"/>
      <c r="X101" s="10"/>
      <c r="Y101" s="10"/>
      <c r="Z101" s="10"/>
      <c r="AA101" s="10"/>
      <c r="AB101" s="10"/>
      <c r="AC101" s="10"/>
    </row>
    <row r="102" s="2" customFormat="1" spans="1:29">
      <c r="A102" s="10"/>
      <c r="B102" s="10"/>
      <c r="C102" s="28"/>
      <c r="D102" s="29"/>
      <c r="E102" s="30"/>
      <c r="F102" s="28"/>
      <c r="G102" s="28"/>
      <c r="H102" s="32"/>
      <c r="I102" s="34"/>
      <c r="J102" s="34"/>
      <c r="K102" s="34"/>
      <c r="L102" s="34"/>
      <c r="M102" s="34"/>
      <c r="N102" s="34"/>
      <c r="O102" s="34"/>
      <c r="P102" s="34"/>
      <c r="Q102" s="34"/>
      <c r="R102" s="34"/>
      <c r="S102" s="12"/>
      <c r="T102" s="10"/>
      <c r="U102" s="10"/>
      <c r="V102" s="10"/>
      <c r="W102" s="23"/>
      <c r="X102" s="10"/>
      <c r="Y102" s="10"/>
      <c r="Z102" s="10"/>
      <c r="AA102" s="10"/>
      <c r="AB102" s="10"/>
      <c r="AC102" s="10"/>
    </row>
    <row r="103" s="2" customFormat="1" spans="1:29">
      <c r="A103" s="10"/>
      <c r="B103" s="10"/>
      <c r="C103" s="28"/>
      <c r="D103" s="29"/>
      <c r="E103" s="30"/>
      <c r="F103" s="28"/>
      <c r="G103" s="28"/>
      <c r="H103" s="32"/>
      <c r="I103" s="34"/>
      <c r="J103" s="34"/>
      <c r="K103" s="34"/>
      <c r="L103" s="34"/>
      <c r="M103" s="34"/>
      <c r="N103" s="34"/>
      <c r="O103" s="34"/>
      <c r="P103" s="34"/>
      <c r="Q103" s="34"/>
      <c r="R103" s="34"/>
      <c r="S103" s="12"/>
      <c r="T103" s="10"/>
      <c r="U103" s="10"/>
      <c r="V103" s="10"/>
      <c r="W103" s="23"/>
      <c r="X103" s="10"/>
      <c r="Y103" s="10"/>
      <c r="Z103" s="10"/>
      <c r="AA103" s="10"/>
      <c r="AB103" s="10"/>
      <c r="AC103" s="10"/>
    </row>
    <row r="104" s="2" customFormat="1" spans="1:29">
      <c r="A104" s="10"/>
      <c r="B104" s="10"/>
      <c r="C104" s="28"/>
      <c r="D104" s="29"/>
      <c r="E104" s="30"/>
      <c r="F104" s="28"/>
      <c r="G104" s="28"/>
      <c r="H104" s="32"/>
      <c r="I104" s="34"/>
      <c r="J104" s="34"/>
      <c r="K104" s="34"/>
      <c r="L104" s="34"/>
      <c r="M104" s="34"/>
      <c r="N104" s="34"/>
      <c r="O104" s="34"/>
      <c r="P104" s="34"/>
      <c r="Q104" s="34"/>
      <c r="R104" s="34"/>
      <c r="S104" s="12"/>
      <c r="T104" s="10"/>
      <c r="U104" s="10"/>
      <c r="V104" s="10"/>
      <c r="W104" s="23"/>
      <c r="X104" s="10"/>
      <c r="Y104" s="10"/>
      <c r="Z104" s="10"/>
      <c r="AA104" s="10"/>
      <c r="AB104" s="10"/>
      <c r="AC104" s="10"/>
    </row>
    <row r="105" s="2" customFormat="1" spans="1:29">
      <c r="A105" s="10"/>
      <c r="B105" s="10"/>
      <c r="C105" s="28"/>
      <c r="D105" s="29"/>
      <c r="E105" s="30"/>
      <c r="F105" s="28"/>
      <c r="G105" s="28"/>
      <c r="H105" s="32"/>
      <c r="I105" s="34"/>
      <c r="J105" s="34"/>
      <c r="K105" s="34"/>
      <c r="L105" s="34"/>
      <c r="M105" s="34"/>
      <c r="N105" s="34"/>
      <c r="O105" s="34"/>
      <c r="P105" s="34"/>
      <c r="Q105" s="34"/>
      <c r="R105" s="34"/>
      <c r="S105" s="12"/>
      <c r="T105" s="10"/>
      <c r="U105" s="10"/>
      <c r="V105" s="10"/>
      <c r="W105" s="23"/>
      <c r="X105" s="10"/>
      <c r="Y105" s="10"/>
      <c r="Z105" s="10"/>
      <c r="AA105" s="10"/>
      <c r="AB105" s="10"/>
      <c r="AC105" s="10"/>
    </row>
    <row r="106" s="2" customFormat="1" spans="1:29">
      <c r="A106" s="10"/>
      <c r="B106" s="10"/>
      <c r="C106" s="28"/>
      <c r="D106" s="29"/>
      <c r="E106" s="30"/>
      <c r="F106" s="28"/>
      <c r="G106" s="28"/>
      <c r="H106" s="32"/>
      <c r="I106" s="34"/>
      <c r="J106" s="34"/>
      <c r="K106" s="34"/>
      <c r="L106" s="34"/>
      <c r="M106" s="34"/>
      <c r="N106" s="34"/>
      <c r="O106" s="34"/>
      <c r="P106" s="34"/>
      <c r="Q106" s="34"/>
      <c r="R106" s="34"/>
      <c r="S106" s="12"/>
      <c r="T106" s="10"/>
      <c r="U106" s="10"/>
      <c r="V106" s="10"/>
      <c r="W106" s="23"/>
      <c r="X106" s="10"/>
      <c r="Y106" s="10"/>
      <c r="Z106" s="10"/>
      <c r="AA106" s="10"/>
      <c r="AB106" s="10"/>
      <c r="AC106" s="10"/>
    </row>
    <row r="107" s="2" customFormat="1" spans="1:29">
      <c r="A107" s="10"/>
      <c r="B107" s="10"/>
      <c r="C107" s="28"/>
      <c r="D107" s="29"/>
      <c r="E107" s="30"/>
      <c r="F107" s="28"/>
      <c r="G107" s="28"/>
      <c r="H107" s="32"/>
      <c r="I107" s="34"/>
      <c r="J107" s="34"/>
      <c r="K107" s="34"/>
      <c r="L107" s="34"/>
      <c r="M107" s="34"/>
      <c r="N107" s="34"/>
      <c r="O107" s="34"/>
      <c r="P107" s="34"/>
      <c r="Q107" s="34"/>
      <c r="R107" s="34"/>
      <c r="S107" s="12"/>
      <c r="T107" s="10"/>
      <c r="U107" s="10"/>
      <c r="V107" s="10"/>
      <c r="W107" s="23"/>
      <c r="X107" s="10"/>
      <c r="Y107" s="10"/>
      <c r="Z107" s="10"/>
      <c r="AA107" s="10"/>
      <c r="AB107" s="10"/>
      <c r="AC107" s="10"/>
    </row>
    <row r="108" s="2" customFormat="1" spans="1:29">
      <c r="A108" s="10"/>
      <c r="B108" s="10"/>
      <c r="C108" s="28"/>
      <c r="D108" s="29"/>
      <c r="E108" s="30"/>
      <c r="F108" s="28"/>
      <c r="G108" s="28"/>
      <c r="H108" s="32"/>
      <c r="I108" s="34"/>
      <c r="J108" s="34"/>
      <c r="K108" s="34"/>
      <c r="L108" s="34"/>
      <c r="M108" s="34"/>
      <c r="N108" s="34"/>
      <c r="O108" s="34"/>
      <c r="P108" s="34"/>
      <c r="Q108" s="34"/>
      <c r="R108" s="34"/>
      <c r="S108" s="12"/>
      <c r="T108" s="10"/>
      <c r="U108" s="10"/>
      <c r="V108" s="10"/>
      <c r="W108" s="23"/>
      <c r="X108" s="10"/>
      <c r="Y108" s="10"/>
      <c r="Z108" s="10"/>
      <c r="AA108" s="10"/>
      <c r="AB108" s="10"/>
      <c r="AC108" s="10"/>
    </row>
    <row r="109" s="2" customFormat="1" spans="1:29">
      <c r="A109" s="10"/>
      <c r="B109" s="10"/>
      <c r="C109" s="28"/>
      <c r="D109" s="29"/>
      <c r="E109" s="30"/>
      <c r="F109" s="28"/>
      <c r="G109" s="28"/>
      <c r="H109" s="32"/>
      <c r="I109" s="34"/>
      <c r="J109" s="34"/>
      <c r="K109" s="34"/>
      <c r="L109" s="34"/>
      <c r="M109" s="34"/>
      <c r="N109" s="34"/>
      <c r="O109" s="34"/>
      <c r="P109" s="34"/>
      <c r="Q109" s="34"/>
      <c r="R109" s="34"/>
      <c r="S109" s="12"/>
      <c r="T109" s="10"/>
      <c r="U109" s="10"/>
      <c r="V109" s="10"/>
      <c r="W109" s="23"/>
      <c r="X109" s="10"/>
      <c r="Y109" s="10"/>
      <c r="Z109" s="10"/>
      <c r="AA109" s="10"/>
      <c r="AB109" s="10"/>
      <c r="AC109" s="10"/>
    </row>
    <row r="110" s="2" customFormat="1" spans="1:29">
      <c r="A110" s="10"/>
      <c r="B110" s="10"/>
      <c r="C110" s="28"/>
      <c r="D110" s="29"/>
      <c r="E110" s="30"/>
      <c r="F110" s="28"/>
      <c r="G110" s="28"/>
      <c r="H110" s="32"/>
      <c r="I110" s="34"/>
      <c r="J110" s="34"/>
      <c r="K110" s="34"/>
      <c r="L110" s="34"/>
      <c r="M110" s="34"/>
      <c r="N110" s="34"/>
      <c r="O110" s="34"/>
      <c r="P110" s="34"/>
      <c r="Q110" s="34"/>
      <c r="R110" s="34"/>
      <c r="S110" s="12"/>
      <c r="T110" s="10"/>
      <c r="U110" s="10"/>
      <c r="V110" s="10"/>
      <c r="W110" s="23"/>
      <c r="X110" s="10"/>
      <c r="Y110" s="10"/>
      <c r="Z110" s="10"/>
      <c r="AA110" s="10"/>
      <c r="AB110" s="10"/>
      <c r="AC110" s="10"/>
    </row>
    <row r="111" s="2" customFormat="1" spans="1:29">
      <c r="A111" s="10"/>
      <c r="B111" s="10"/>
      <c r="C111" s="28"/>
      <c r="D111" s="29"/>
      <c r="E111" s="30"/>
      <c r="F111" s="28"/>
      <c r="G111" s="28"/>
      <c r="H111" s="32"/>
      <c r="I111" s="34"/>
      <c r="J111" s="34"/>
      <c r="K111" s="34"/>
      <c r="L111" s="34"/>
      <c r="M111" s="34"/>
      <c r="N111" s="34"/>
      <c r="O111" s="34"/>
      <c r="P111" s="34"/>
      <c r="Q111" s="34"/>
      <c r="R111" s="34"/>
      <c r="S111" s="12"/>
      <c r="T111" s="10"/>
      <c r="U111" s="10"/>
      <c r="V111" s="10"/>
      <c r="W111" s="23"/>
      <c r="X111" s="10"/>
      <c r="Y111" s="10"/>
      <c r="Z111" s="10"/>
      <c r="AA111" s="10"/>
      <c r="AB111" s="10"/>
      <c r="AC111" s="10"/>
    </row>
    <row r="112" s="2" customFormat="1" spans="1:29">
      <c r="A112" s="10"/>
      <c r="B112" s="10"/>
      <c r="C112" s="28"/>
      <c r="D112" s="29"/>
      <c r="E112" s="30"/>
      <c r="F112" s="28"/>
      <c r="G112" s="28"/>
      <c r="H112" s="32"/>
      <c r="I112" s="34"/>
      <c r="J112" s="34"/>
      <c r="K112" s="34"/>
      <c r="L112" s="34"/>
      <c r="M112" s="34"/>
      <c r="N112" s="34"/>
      <c r="O112" s="34"/>
      <c r="P112" s="34"/>
      <c r="Q112" s="34"/>
      <c r="R112" s="34"/>
      <c r="S112" s="12"/>
      <c r="T112" s="10"/>
      <c r="U112" s="10"/>
      <c r="V112" s="10"/>
      <c r="W112" s="23"/>
      <c r="X112" s="10"/>
      <c r="Y112" s="10"/>
      <c r="Z112" s="10"/>
      <c r="AA112" s="10"/>
      <c r="AB112" s="10"/>
      <c r="AC112" s="10"/>
    </row>
    <row r="113" s="2" customFormat="1" spans="1:29">
      <c r="A113" s="10"/>
      <c r="B113" s="10"/>
      <c r="C113" s="28"/>
      <c r="D113" s="29"/>
      <c r="E113" s="30"/>
      <c r="F113" s="28"/>
      <c r="G113" s="28"/>
      <c r="H113" s="32"/>
      <c r="I113" s="34"/>
      <c r="J113" s="34"/>
      <c r="K113" s="34"/>
      <c r="L113" s="34"/>
      <c r="M113" s="34"/>
      <c r="N113" s="34"/>
      <c r="O113" s="34"/>
      <c r="P113" s="34"/>
      <c r="Q113" s="34"/>
      <c r="R113" s="34"/>
      <c r="S113" s="12"/>
      <c r="T113" s="10"/>
      <c r="U113" s="10"/>
      <c r="V113" s="10"/>
      <c r="W113" s="23"/>
      <c r="X113" s="10"/>
      <c r="Y113" s="10"/>
      <c r="Z113" s="10"/>
      <c r="AA113" s="10"/>
      <c r="AB113" s="10"/>
      <c r="AC113" s="10"/>
    </row>
    <row r="114" s="2" customFormat="1" spans="1:29">
      <c r="A114" s="10"/>
      <c r="B114" s="10"/>
      <c r="C114" s="28"/>
      <c r="D114" s="29"/>
      <c r="E114" s="30"/>
      <c r="F114" s="28"/>
      <c r="G114" s="28"/>
      <c r="H114" s="32"/>
      <c r="I114" s="34"/>
      <c r="J114" s="34"/>
      <c r="K114" s="34"/>
      <c r="L114" s="34"/>
      <c r="M114" s="34"/>
      <c r="N114" s="34"/>
      <c r="O114" s="34"/>
      <c r="P114" s="34"/>
      <c r="Q114" s="34"/>
      <c r="R114" s="34"/>
      <c r="S114" s="12"/>
      <c r="T114" s="10"/>
      <c r="U114" s="10"/>
      <c r="V114" s="10"/>
      <c r="W114" s="23"/>
      <c r="X114" s="10"/>
      <c r="Y114" s="10"/>
      <c r="Z114" s="10"/>
      <c r="AA114" s="10"/>
      <c r="AB114" s="10"/>
      <c r="AC114" s="10"/>
    </row>
    <row r="115" s="2" customFormat="1" spans="1:29">
      <c r="A115" s="10"/>
      <c r="B115" s="10"/>
      <c r="C115" s="28"/>
      <c r="D115" s="29"/>
      <c r="E115" s="30"/>
      <c r="F115" s="28"/>
      <c r="G115" s="28"/>
      <c r="H115" s="32"/>
      <c r="I115" s="34"/>
      <c r="J115" s="34"/>
      <c r="K115" s="34"/>
      <c r="L115" s="34"/>
      <c r="M115" s="34"/>
      <c r="N115" s="34"/>
      <c r="O115" s="34"/>
      <c r="P115" s="34"/>
      <c r="Q115" s="34"/>
      <c r="R115" s="34"/>
      <c r="S115" s="12"/>
      <c r="T115" s="10"/>
      <c r="U115" s="10"/>
      <c r="V115" s="10"/>
      <c r="W115" s="23"/>
      <c r="X115" s="10"/>
      <c r="Y115" s="10"/>
      <c r="Z115" s="10"/>
      <c r="AA115" s="10"/>
      <c r="AB115" s="10"/>
      <c r="AC115" s="10"/>
    </row>
    <row r="116" s="2" customFormat="1" spans="1:29">
      <c r="A116" s="10"/>
      <c r="B116" s="10"/>
      <c r="C116" s="28"/>
      <c r="D116" s="29"/>
      <c r="E116" s="30"/>
      <c r="F116" s="28"/>
      <c r="G116" s="28"/>
      <c r="H116" s="32"/>
      <c r="I116" s="34"/>
      <c r="J116" s="34"/>
      <c r="K116" s="34"/>
      <c r="L116" s="34"/>
      <c r="M116" s="34"/>
      <c r="N116" s="34"/>
      <c r="O116" s="34"/>
      <c r="P116" s="34"/>
      <c r="Q116" s="34"/>
      <c r="R116" s="34"/>
      <c r="S116" s="12"/>
      <c r="T116" s="10"/>
      <c r="U116" s="10"/>
      <c r="V116" s="10"/>
      <c r="W116" s="23"/>
      <c r="X116" s="10"/>
      <c r="Y116" s="10"/>
      <c r="Z116" s="10"/>
      <c r="AA116" s="10"/>
      <c r="AB116" s="10"/>
      <c r="AC116" s="10"/>
    </row>
    <row r="117" s="2" customFormat="1" spans="1:29">
      <c r="A117" s="10"/>
      <c r="B117" s="10"/>
      <c r="C117" s="28"/>
      <c r="D117" s="29"/>
      <c r="E117" s="30"/>
      <c r="F117" s="28"/>
      <c r="G117" s="28"/>
      <c r="H117" s="32"/>
      <c r="I117" s="34"/>
      <c r="J117" s="34"/>
      <c r="K117" s="34"/>
      <c r="L117" s="34"/>
      <c r="M117" s="34"/>
      <c r="N117" s="34"/>
      <c r="O117" s="34"/>
      <c r="P117" s="34"/>
      <c r="Q117" s="34"/>
      <c r="R117" s="34"/>
      <c r="S117" s="12"/>
      <c r="T117" s="10"/>
      <c r="U117" s="10"/>
      <c r="V117" s="10"/>
      <c r="W117" s="23"/>
      <c r="X117" s="10"/>
      <c r="Y117" s="10"/>
      <c r="Z117" s="10"/>
      <c r="AA117" s="10"/>
      <c r="AB117" s="10"/>
      <c r="AC117" s="10"/>
    </row>
    <row r="118" s="2" customFormat="1" spans="1:29">
      <c r="A118" s="10"/>
      <c r="B118" s="10"/>
      <c r="C118" s="28"/>
      <c r="D118" s="29"/>
      <c r="E118" s="30"/>
      <c r="F118" s="28"/>
      <c r="G118" s="28"/>
      <c r="H118" s="32"/>
      <c r="I118" s="34"/>
      <c r="J118" s="34"/>
      <c r="K118" s="34"/>
      <c r="L118" s="34"/>
      <c r="M118" s="34"/>
      <c r="N118" s="34"/>
      <c r="O118" s="34"/>
      <c r="P118" s="34"/>
      <c r="Q118" s="34"/>
      <c r="R118" s="34"/>
      <c r="S118" s="12"/>
      <c r="T118" s="10"/>
      <c r="U118" s="10"/>
      <c r="V118" s="10"/>
      <c r="W118" s="23"/>
      <c r="X118" s="10"/>
      <c r="Y118" s="10"/>
      <c r="Z118" s="10"/>
      <c r="AA118" s="10"/>
      <c r="AB118" s="10"/>
      <c r="AC118" s="10"/>
    </row>
    <row r="119" s="2" customFormat="1" spans="1:29">
      <c r="A119" s="10"/>
      <c r="B119" s="10"/>
      <c r="C119" s="28"/>
      <c r="D119" s="29"/>
      <c r="E119" s="30"/>
      <c r="F119" s="28"/>
      <c r="G119" s="28"/>
      <c r="H119" s="32"/>
      <c r="I119" s="34"/>
      <c r="J119" s="34"/>
      <c r="K119" s="34"/>
      <c r="L119" s="34"/>
      <c r="M119" s="34"/>
      <c r="N119" s="34"/>
      <c r="O119" s="34"/>
      <c r="P119" s="34"/>
      <c r="Q119" s="34"/>
      <c r="R119" s="34"/>
      <c r="S119" s="12"/>
      <c r="T119" s="10"/>
      <c r="U119" s="10"/>
      <c r="V119" s="10"/>
      <c r="W119" s="23"/>
      <c r="X119" s="10"/>
      <c r="Y119" s="10"/>
      <c r="Z119" s="10"/>
      <c r="AA119" s="10"/>
      <c r="AB119" s="10"/>
      <c r="AC119" s="10"/>
    </row>
    <row r="120" s="2" customFormat="1" spans="1:29">
      <c r="A120" s="10"/>
      <c r="B120" s="10"/>
      <c r="C120" s="28"/>
      <c r="D120" s="29"/>
      <c r="E120" s="30"/>
      <c r="F120" s="28"/>
      <c r="G120" s="28"/>
      <c r="H120" s="32"/>
      <c r="I120" s="34"/>
      <c r="J120" s="34"/>
      <c r="K120" s="34"/>
      <c r="L120" s="34"/>
      <c r="M120" s="34"/>
      <c r="N120" s="34"/>
      <c r="O120" s="34"/>
      <c r="P120" s="34"/>
      <c r="Q120" s="34"/>
      <c r="R120" s="34"/>
      <c r="S120" s="12"/>
      <c r="T120" s="10"/>
      <c r="U120" s="10"/>
      <c r="V120" s="10"/>
      <c r="W120" s="23"/>
      <c r="X120" s="10"/>
      <c r="Y120" s="10"/>
      <c r="Z120" s="10"/>
      <c r="AA120" s="10"/>
      <c r="AB120" s="10"/>
      <c r="AC120" s="10"/>
    </row>
    <row r="121" s="2" customFormat="1" spans="1:29">
      <c r="A121" s="10"/>
      <c r="B121" s="10"/>
      <c r="C121" s="28"/>
      <c r="D121" s="29"/>
      <c r="E121" s="30"/>
      <c r="F121" s="28"/>
      <c r="G121" s="28"/>
      <c r="H121" s="32"/>
      <c r="I121" s="34"/>
      <c r="J121" s="34"/>
      <c r="K121" s="34"/>
      <c r="L121" s="34"/>
      <c r="M121" s="34"/>
      <c r="N121" s="34"/>
      <c r="O121" s="34"/>
      <c r="P121" s="34"/>
      <c r="Q121" s="34"/>
      <c r="R121" s="34"/>
      <c r="S121" s="12"/>
      <c r="T121" s="10"/>
      <c r="U121" s="10"/>
      <c r="V121" s="10"/>
      <c r="W121" s="23"/>
      <c r="X121" s="10"/>
      <c r="Y121" s="10"/>
      <c r="Z121" s="10"/>
      <c r="AA121" s="10"/>
      <c r="AB121" s="10"/>
      <c r="AC121" s="10"/>
    </row>
    <row r="122" s="2" customFormat="1" spans="1:29">
      <c r="A122" s="10"/>
      <c r="B122" s="23"/>
      <c r="C122" s="28"/>
      <c r="D122" s="29"/>
      <c r="E122" s="33"/>
      <c r="F122" s="23"/>
      <c r="G122" s="23"/>
      <c r="H122" s="32"/>
      <c r="I122" s="34"/>
      <c r="J122" s="34"/>
      <c r="K122" s="34"/>
      <c r="L122" s="34"/>
      <c r="M122" s="34"/>
      <c r="N122" s="34"/>
      <c r="O122" s="34"/>
      <c r="P122" s="34"/>
      <c r="Q122" s="34"/>
      <c r="R122" s="34"/>
      <c r="S122" s="12"/>
      <c r="T122" s="10"/>
      <c r="U122" s="10"/>
      <c r="V122" s="10"/>
      <c r="W122" s="23"/>
      <c r="X122" s="10"/>
      <c r="Y122" s="10"/>
      <c r="Z122" s="10"/>
      <c r="AA122" s="10"/>
      <c r="AB122" s="10"/>
      <c r="AC122" s="10"/>
    </row>
    <row r="123" s="2" customFormat="1" spans="1:29">
      <c r="A123" s="10"/>
      <c r="B123" s="23"/>
      <c r="C123" s="28"/>
      <c r="D123" s="29"/>
      <c r="E123" s="33"/>
      <c r="F123" s="23"/>
      <c r="G123" s="23"/>
      <c r="H123" s="32"/>
      <c r="I123" s="34"/>
      <c r="J123" s="34"/>
      <c r="K123" s="34"/>
      <c r="L123" s="34"/>
      <c r="M123" s="34"/>
      <c r="N123" s="34"/>
      <c r="O123" s="34"/>
      <c r="P123" s="34"/>
      <c r="Q123" s="34"/>
      <c r="R123" s="34"/>
      <c r="S123" s="12"/>
      <c r="T123" s="10"/>
      <c r="U123" s="10"/>
      <c r="V123" s="10"/>
      <c r="W123" s="23"/>
      <c r="X123" s="10"/>
      <c r="Y123" s="10"/>
      <c r="Z123" s="10"/>
      <c r="AA123" s="10"/>
      <c r="AB123" s="10"/>
      <c r="AC123" s="10"/>
    </row>
    <row r="124" s="2" customFormat="1" spans="1:29">
      <c r="A124" s="10"/>
      <c r="B124" s="23"/>
      <c r="C124" s="28"/>
      <c r="D124" s="29"/>
      <c r="E124" s="33"/>
      <c r="F124" s="23"/>
      <c r="G124" s="23"/>
      <c r="H124" s="32"/>
      <c r="I124" s="34"/>
      <c r="J124" s="34"/>
      <c r="K124" s="34"/>
      <c r="L124" s="34"/>
      <c r="M124" s="34"/>
      <c r="N124" s="34"/>
      <c r="O124" s="34"/>
      <c r="P124" s="34"/>
      <c r="Q124" s="34"/>
      <c r="R124" s="34"/>
      <c r="S124" s="12"/>
      <c r="T124" s="10"/>
      <c r="U124" s="10"/>
      <c r="V124" s="10"/>
      <c r="W124" s="23"/>
      <c r="X124" s="10"/>
      <c r="Y124" s="10"/>
      <c r="Z124" s="10"/>
      <c r="AA124" s="10"/>
      <c r="AB124" s="10"/>
      <c r="AC124" s="10"/>
    </row>
    <row r="125" s="2" customFormat="1" spans="1:29">
      <c r="A125" s="10"/>
      <c r="B125" s="23"/>
      <c r="C125" s="28"/>
      <c r="D125" s="29"/>
      <c r="E125" s="33"/>
      <c r="F125" s="23"/>
      <c r="G125" s="23"/>
      <c r="H125" s="32"/>
      <c r="I125" s="34"/>
      <c r="J125" s="34"/>
      <c r="K125" s="34"/>
      <c r="L125" s="34"/>
      <c r="M125" s="34"/>
      <c r="N125" s="34"/>
      <c r="O125" s="34"/>
      <c r="P125" s="34"/>
      <c r="Q125" s="34"/>
      <c r="R125" s="34"/>
      <c r="S125" s="12"/>
      <c r="T125" s="10"/>
      <c r="U125" s="10"/>
      <c r="V125" s="10"/>
      <c r="W125" s="23"/>
      <c r="X125" s="10"/>
      <c r="Y125" s="10"/>
      <c r="Z125" s="10"/>
      <c r="AA125" s="10"/>
      <c r="AB125" s="10"/>
      <c r="AC125" s="10"/>
    </row>
    <row r="126" s="2" customFormat="1" spans="1:29">
      <c r="A126" s="10"/>
      <c r="B126" s="23"/>
      <c r="C126" s="28"/>
      <c r="D126" s="29"/>
      <c r="E126" s="33"/>
      <c r="F126" s="23"/>
      <c r="G126" s="23"/>
      <c r="H126" s="32"/>
      <c r="I126" s="34"/>
      <c r="J126" s="34"/>
      <c r="K126" s="34"/>
      <c r="L126" s="34"/>
      <c r="M126" s="34"/>
      <c r="N126" s="34"/>
      <c r="O126" s="34"/>
      <c r="P126" s="34"/>
      <c r="Q126" s="34"/>
      <c r="R126" s="34"/>
      <c r="S126" s="12"/>
      <c r="T126" s="10"/>
      <c r="U126" s="10"/>
      <c r="V126" s="10"/>
      <c r="W126" s="23"/>
      <c r="X126" s="10"/>
      <c r="Y126" s="10"/>
      <c r="Z126" s="10"/>
      <c r="AA126" s="10"/>
      <c r="AB126" s="10"/>
      <c r="AC126" s="10"/>
    </row>
    <row r="127" s="2" customFormat="1" spans="1:29">
      <c r="A127" s="10"/>
      <c r="B127" s="23"/>
      <c r="C127" s="28"/>
      <c r="D127" s="29"/>
      <c r="E127" s="33"/>
      <c r="F127" s="23"/>
      <c r="G127" s="23"/>
      <c r="H127" s="32"/>
      <c r="I127" s="34"/>
      <c r="J127" s="34"/>
      <c r="K127" s="34"/>
      <c r="L127" s="34"/>
      <c r="M127" s="34"/>
      <c r="N127" s="34"/>
      <c r="O127" s="34"/>
      <c r="P127" s="34"/>
      <c r="Q127" s="34"/>
      <c r="R127" s="34"/>
      <c r="S127" s="12"/>
      <c r="T127" s="10"/>
      <c r="U127" s="10"/>
      <c r="V127" s="10"/>
      <c r="W127" s="23"/>
      <c r="X127" s="10"/>
      <c r="Y127" s="10"/>
      <c r="Z127" s="10"/>
      <c r="AA127" s="10"/>
      <c r="AB127" s="10"/>
      <c r="AC127" s="10"/>
    </row>
    <row r="128" s="2" customFormat="1" spans="1:29">
      <c r="A128" s="10"/>
      <c r="B128" s="23"/>
      <c r="C128" s="28"/>
      <c r="D128" s="29"/>
      <c r="E128" s="12"/>
      <c r="F128" s="23"/>
      <c r="G128" s="23"/>
      <c r="H128" s="17"/>
      <c r="I128" s="34"/>
      <c r="J128" s="34"/>
      <c r="K128" s="34"/>
      <c r="L128" s="34"/>
      <c r="M128" s="34"/>
      <c r="N128" s="34"/>
      <c r="O128" s="34"/>
      <c r="P128" s="34"/>
      <c r="Q128" s="34"/>
      <c r="R128" s="34"/>
      <c r="S128" s="12"/>
      <c r="T128" s="10"/>
      <c r="U128" s="10"/>
      <c r="V128" s="10"/>
      <c r="W128" s="23"/>
      <c r="X128" s="10"/>
      <c r="Y128" s="10"/>
      <c r="Z128" s="10"/>
      <c r="AA128" s="10"/>
      <c r="AB128" s="10"/>
      <c r="AC128" s="10"/>
    </row>
    <row r="129" s="2" customFormat="1" spans="1:29">
      <c r="A129" s="10"/>
      <c r="B129" s="23"/>
      <c r="C129" s="28"/>
      <c r="D129" s="29"/>
      <c r="E129" s="35"/>
      <c r="F129" s="23"/>
      <c r="G129" s="23"/>
      <c r="H129" s="36"/>
      <c r="I129" s="34"/>
      <c r="J129" s="34"/>
      <c r="K129" s="34"/>
      <c r="L129" s="34"/>
      <c r="M129" s="34"/>
      <c r="N129" s="34"/>
      <c r="O129" s="34"/>
      <c r="P129" s="34"/>
      <c r="Q129" s="34"/>
      <c r="R129" s="34"/>
      <c r="S129" s="12"/>
      <c r="T129" s="10"/>
      <c r="U129" s="10"/>
      <c r="V129" s="10"/>
      <c r="W129" s="23"/>
      <c r="X129" s="10"/>
      <c r="Y129" s="10"/>
      <c r="Z129" s="10"/>
      <c r="AA129" s="10"/>
      <c r="AB129" s="10"/>
      <c r="AC129" s="10"/>
    </row>
    <row r="130" s="2" customFormat="1" spans="1:29">
      <c r="A130" s="10"/>
      <c r="B130" s="23"/>
      <c r="C130" s="28"/>
      <c r="D130" s="29"/>
      <c r="E130" s="37"/>
      <c r="F130" s="23"/>
      <c r="G130" s="23"/>
      <c r="H130" s="31"/>
      <c r="I130" s="34"/>
      <c r="J130" s="34"/>
      <c r="K130" s="34"/>
      <c r="L130" s="34"/>
      <c r="M130" s="34"/>
      <c r="N130" s="34"/>
      <c r="O130" s="34"/>
      <c r="P130" s="34"/>
      <c r="Q130" s="34"/>
      <c r="R130" s="34"/>
      <c r="S130" s="12"/>
      <c r="T130" s="10"/>
      <c r="U130" s="10"/>
      <c r="V130" s="10"/>
      <c r="W130" s="23"/>
      <c r="X130" s="10"/>
      <c r="Y130" s="10"/>
      <c r="Z130" s="10"/>
      <c r="AA130" s="10"/>
      <c r="AB130" s="10"/>
      <c r="AC130" s="10"/>
    </row>
    <row r="131" s="2" customFormat="1" spans="1:29">
      <c r="A131" s="10"/>
      <c r="B131" s="23"/>
      <c r="C131" s="28"/>
      <c r="D131" s="29"/>
      <c r="E131" s="37"/>
      <c r="F131" s="23"/>
      <c r="G131" s="23"/>
      <c r="H131" s="31"/>
      <c r="I131" s="34"/>
      <c r="J131" s="34"/>
      <c r="K131" s="34"/>
      <c r="L131" s="34"/>
      <c r="M131" s="34"/>
      <c r="N131" s="34"/>
      <c r="O131" s="34"/>
      <c r="P131" s="34"/>
      <c r="Q131" s="34"/>
      <c r="R131" s="34"/>
      <c r="S131" s="12"/>
      <c r="T131" s="10"/>
      <c r="U131" s="10"/>
      <c r="V131" s="10"/>
      <c r="W131" s="23"/>
      <c r="X131" s="10"/>
      <c r="Y131" s="10"/>
      <c r="Z131" s="10"/>
      <c r="AA131" s="10"/>
      <c r="AB131" s="10"/>
      <c r="AC131" s="10"/>
    </row>
    <row r="132" s="2" customFormat="1" spans="1:29">
      <c r="A132" s="10"/>
      <c r="B132" s="23"/>
      <c r="C132" s="28"/>
      <c r="D132" s="29"/>
      <c r="E132" s="35"/>
      <c r="F132" s="23"/>
      <c r="G132" s="23"/>
      <c r="H132" s="36"/>
      <c r="I132" s="34"/>
      <c r="J132" s="34"/>
      <c r="K132" s="34"/>
      <c r="L132" s="34"/>
      <c r="M132" s="34"/>
      <c r="N132" s="34"/>
      <c r="O132" s="34"/>
      <c r="P132" s="34"/>
      <c r="Q132" s="34"/>
      <c r="R132" s="34"/>
      <c r="S132" s="12"/>
      <c r="T132" s="10"/>
      <c r="U132" s="10"/>
      <c r="V132" s="10"/>
      <c r="W132" s="23"/>
      <c r="X132" s="10"/>
      <c r="Y132" s="10"/>
      <c r="Z132" s="10"/>
      <c r="AA132" s="10"/>
      <c r="AB132" s="10"/>
      <c r="AC132" s="10"/>
    </row>
    <row r="133" s="2" customFormat="1" spans="1:29">
      <c r="A133" s="10"/>
      <c r="B133" s="23"/>
      <c r="C133" s="28"/>
      <c r="D133" s="29"/>
      <c r="E133" s="35"/>
      <c r="F133" s="23"/>
      <c r="G133" s="23"/>
      <c r="H133" s="36"/>
      <c r="I133" s="34"/>
      <c r="J133" s="34"/>
      <c r="K133" s="34"/>
      <c r="L133" s="34"/>
      <c r="M133" s="34"/>
      <c r="N133" s="34"/>
      <c r="O133" s="34"/>
      <c r="P133" s="34"/>
      <c r="Q133" s="34"/>
      <c r="R133" s="34"/>
      <c r="S133" s="12"/>
      <c r="T133" s="10"/>
      <c r="U133" s="10"/>
      <c r="V133" s="10"/>
      <c r="W133" s="23"/>
      <c r="X133" s="10"/>
      <c r="Y133" s="10"/>
      <c r="Z133" s="10"/>
      <c r="AA133" s="10"/>
      <c r="AB133" s="10"/>
      <c r="AC133" s="10"/>
    </row>
    <row r="134" s="2" customFormat="1" spans="1:29">
      <c r="A134" s="10"/>
      <c r="B134" s="23"/>
      <c r="C134" s="28"/>
      <c r="D134" s="29"/>
      <c r="E134" s="35"/>
      <c r="F134" s="23"/>
      <c r="G134" s="23"/>
      <c r="H134" s="36"/>
      <c r="I134" s="34"/>
      <c r="J134" s="34"/>
      <c r="K134" s="34"/>
      <c r="L134" s="34"/>
      <c r="M134" s="34"/>
      <c r="N134" s="34"/>
      <c r="O134" s="34"/>
      <c r="P134" s="34"/>
      <c r="Q134" s="34"/>
      <c r="R134" s="34"/>
      <c r="S134" s="35"/>
      <c r="T134" s="10"/>
      <c r="U134" s="10"/>
      <c r="V134" s="10"/>
      <c r="W134" s="23"/>
      <c r="X134" s="10"/>
      <c r="Y134" s="10"/>
      <c r="Z134" s="10"/>
      <c r="AA134" s="10"/>
      <c r="AB134" s="10"/>
      <c r="AC134" s="10"/>
    </row>
    <row r="135" s="2" customFormat="1" spans="1:29">
      <c r="A135" s="10"/>
      <c r="B135" s="23"/>
      <c r="C135" s="28"/>
      <c r="D135" s="29"/>
      <c r="E135" s="35"/>
      <c r="F135" s="23"/>
      <c r="G135" s="23"/>
      <c r="H135" s="36"/>
      <c r="I135" s="34"/>
      <c r="J135" s="34"/>
      <c r="K135" s="34"/>
      <c r="L135" s="34"/>
      <c r="M135" s="34"/>
      <c r="N135" s="34"/>
      <c r="O135" s="34"/>
      <c r="P135" s="34"/>
      <c r="Q135" s="34"/>
      <c r="R135" s="34"/>
      <c r="S135" s="35"/>
      <c r="T135" s="10"/>
      <c r="U135" s="10"/>
      <c r="V135" s="10"/>
      <c r="W135" s="23"/>
      <c r="X135" s="10"/>
      <c r="Y135" s="10"/>
      <c r="Z135" s="10"/>
      <c r="AA135" s="10"/>
      <c r="AB135" s="10"/>
      <c r="AC135" s="10"/>
    </row>
    <row r="136" s="2" customFormat="1" spans="1:29">
      <c r="A136" s="10"/>
      <c r="B136" s="23"/>
      <c r="C136" s="28"/>
      <c r="D136" s="29"/>
      <c r="E136" s="35"/>
      <c r="F136" s="23"/>
      <c r="G136" s="23"/>
      <c r="H136" s="36"/>
      <c r="I136" s="34"/>
      <c r="J136" s="34"/>
      <c r="K136" s="34"/>
      <c r="L136" s="34"/>
      <c r="M136" s="34"/>
      <c r="N136" s="34"/>
      <c r="O136" s="34"/>
      <c r="P136" s="34"/>
      <c r="Q136" s="34"/>
      <c r="R136" s="34"/>
      <c r="S136" s="35"/>
      <c r="T136" s="10"/>
      <c r="U136" s="10"/>
      <c r="V136" s="10"/>
      <c r="W136" s="23"/>
      <c r="X136" s="10"/>
      <c r="Y136" s="10"/>
      <c r="Z136" s="10"/>
      <c r="AA136" s="10"/>
      <c r="AB136" s="10"/>
      <c r="AC136" s="10"/>
    </row>
    <row r="137" s="2" customFormat="1" spans="1:29">
      <c r="A137" s="10"/>
      <c r="B137" s="23"/>
      <c r="C137" s="28"/>
      <c r="D137" s="29"/>
      <c r="E137" s="35"/>
      <c r="F137" s="23"/>
      <c r="G137" s="23"/>
      <c r="H137" s="36"/>
      <c r="I137" s="34"/>
      <c r="J137" s="34"/>
      <c r="K137" s="34"/>
      <c r="L137" s="34"/>
      <c r="M137" s="34"/>
      <c r="N137" s="34"/>
      <c r="O137" s="34"/>
      <c r="P137" s="34"/>
      <c r="Q137" s="34"/>
      <c r="R137" s="34"/>
      <c r="S137" s="35"/>
      <c r="T137" s="10"/>
      <c r="U137" s="10"/>
      <c r="V137" s="10"/>
      <c r="W137" s="23"/>
      <c r="X137" s="10"/>
      <c r="Y137" s="10"/>
      <c r="Z137" s="10"/>
      <c r="AA137" s="10"/>
      <c r="AB137" s="10"/>
      <c r="AC137" s="10"/>
    </row>
    <row r="138" s="2" customFormat="1" spans="1:29">
      <c r="A138" s="10"/>
      <c r="B138" s="23"/>
      <c r="C138" s="28"/>
      <c r="D138" s="29"/>
      <c r="E138" s="35"/>
      <c r="F138" s="23"/>
      <c r="G138" s="23"/>
      <c r="H138" s="36"/>
      <c r="I138" s="34"/>
      <c r="J138" s="34"/>
      <c r="K138" s="34"/>
      <c r="L138" s="34"/>
      <c r="M138" s="34"/>
      <c r="N138" s="34"/>
      <c r="O138" s="34"/>
      <c r="P138" s="34"/>
      <c r="Q138" s="34"/>
      <c r="R138" s="34"/>
      <c r="S138" s="35"/>
      <c r="T138" s="10"/>
      <c r="U138" s="10"/>
      <c r="V138" s="10"/>
      <c r="W138" s="23"/>
      <c r="X138" s="10"/>
      <c r="Y138" s="10"/>
      <c r="Z138" s="10"/>
      <c r="AA138" s="10"/>
      <c r="AB138" s="10"/>
      <c r="AC138" s="10"/>
    </row>
    <row r="139" s="2" customFormat="1" spans="1:29">
      <c r="A139" s="10"/>
      <c r="B139" s="23"/>
      <c r="C139" s="28"/>
      <c r="D139" s="29"/>
      <c r="E139" s="35"/>
      <c r="F139" s="23"/>
      <c r="G139" s="23"/>
      <c r="H139" s="36"/>
      <c r="I139" s="34"/>
      <c r="J139" s="34"/>
      <c r="K139" s="34"/>
      <c r="L139" s="34"/>
      <c r="M139" s="34"/>
      <c r="N139" s="34"/>
      <c r="O139" s="34"/>
      <c r="P139" s="34"/>
      <c r="Q139" s="34"/>
      <c r="R139" s="34"/>
      <c r="S139" s="35"/>
      <c r="T139" s="10"/>
      <c r="U139" s="10"/>
      <c r="V139" s="10"/>
      <c r="W139" s="23"/>
      <c r="X139" s="10"/>
      <c r="Y139" s="10"/>
      <c r="Z139" s="10"/>
      <c r="AA139" s="10"/>
      <c r="AB139" s="10"/>
      <c r="AC139" s="10"/>
    </row>
    <row r="140" s="2" customFormat="1" spans="1:29">
      <c r="A140" s="10"/>
      <c r="B140" s="23"/>
      <c r="C140" s="28"/>
      <c r="D140" s="29"/>
      <c r="E140" s="35"/>
      <c r="F140" s="23"/>
      <c r="G140" s="23"/>
      <c r="H140" s="36"/>
      <c r="I140" s="34"/>
      <c r="J140" s="34"/>
      <c r="K140" s="34"/>
      <c r="L140" s="34"/>
      <c r="M140" s="34"/>
      <c r="N140" s="34"/>
      <c r="O140" s="34"/>
      <c r="P140" s="34"/>
      <c r="Q140" s="34"/>
      <c r="R140" s="34"/>
      <c r="S140" s="35"/>
      <c r="T140" s="10"/>
      <c r="U140" s="10"/>
      <c r="V140" s="10"/>
      <c r="W140" s="23"/>
      <c r="X140" s="10"/>
      <c r="Y140" s="10"/>
      <c r="Z140" s="10"/>
      <c r="AA140" s="10"/>
      <c r="AB140" s="10"/>
      <c r="AC140" s="10"/>
    </row>
    <row r="141" s="2" customFormat="1" spans="1:29">
      <c r="A141" s="10"/>
      <c r="B141" s="23"/>
      <c r="C141" s="28"/>
      <c r="D141" s="29"/>
      <c r="E141" s="35"/>
      <c r="F141" s="23"/>
      <c r="G141" s="23"/>
      <c r="H141" s="36"/>
      <c r="I141" s="34"/>
      <c r="J141" s="34"/>
      <c r="K141" s="34"/>
      <c r="L141" s="34"/>
      <c r="M141" s="34"/>
      <c r="N141" s="34"/>
      <c r="O141" s="34"/>
      <c r="P141" s="34"/>
      <c r="Q141" s="34"/>
      <c r="R141" s="34"/>
      <c r="S141" s="35"/>
      <c r="T141" s="10"/>
      <c r="U141" s="10"/>
      <c r="V141" s="10"/>
      <c r="W141" s="23"/>
      <c r="X141" s="10"/>
      <c r="Y141" s="10"/>
      <c r="Z141" s="10"/>
      <c r="AA141" s="10"/>
      <c r="AB141" s="10"/>
      <c r="AC141" s="10"/>
    </row>
    <row r="142" s="2" customFormat="1" spans="1:29">
      <c r="A142" s="10"/>
      <c r="B142" s="23"/>
      <c r="C142" s="28"/>
      <c r="D142" s="29"/>
      <c r="E142" s="35"/>
      <c r="F142" s="23"/>
      <c r="G142" s="23"/>
      <c r="H142" s="36"/>
      <c r="I142" s="34"/>
      <c r="J142" s="34"/>
      <c r="K142" s="34"/>
      <c r="L142" s="34"/>
      <c r="M142" s="34"/>
      <c r="N142" s="34"/>
      <c r="O142" s="34"/>
      <c r="P142" s="34"/>
      <c r="Q142" s="34"/>
      <c r="R142" s="34"/>
      <c r="S142" s="35"/>
      <c r="T142" s="10"/>
      <c r="U142" s="10"/>
      <c r="V142" s="10"/>
      <c r="W142" s="23"/>
      <c r="X142" s="10"/>
      <c r="Y142" s="10"/>
      <c r="Z142" s="10"/>
      <c r="AA142" s="10"/>
      <c r="AB142" s="10"/>
      <c r="AC142" s="10"/>
    </row>
    <row r="143" s="2" customFormat="1" spans="1:29">
      <c r="A143" s="10"/>
      <c r="B143" s="23"/>
      <c r="C143" s="28"/>
      <c r="D143" s="29"/>
      <c r="E143" s="37"/>
      <c r="F143" s="23"/>
      <c r="G143" s="23"/>
      <c r="H143" s="31"/>
      <c r="I143" s="34"/>
      <c r="J143" s="34"/>
      <c r="K143" s="34"/>
      <c r="L143" s="34"/>
      <c r="M143" s="34"/>
      <c r="N143" s="34"/>
      <c r="O143" s="34"/>
      <c r="P143" s="34"/>
      <c r="Q143" s="34"/>
      <c r="R143" s="34"/>
      <c r="S143" s="12"/>
      <c r="T143" s="10"/>
      <c r="U143" s="10"/>
      <c r="V143" s="10"/>
      <c r="W143" s="23"/>
      <c r="X143" s="10"/>
      <c r="Y143" s="10"/>
      <c r="Z143" s="10"/>
      <c r="AA143" s="10"/>
      <c r="AB143" s="10"/>
      <c r="AC143" s="10"/>
    </row>
    <row r="144" s="2" customFormat="1" spans="1:29">
      <c r="A144" s="10"/>
      <c r="B144" s="23"/>
      <c r="C144" s="28"/>
      <c r="D144" s="29"/>
      <c r="E144" s="37"/>
      <c r="F144" s="23"/>
      <c r="G144" s="23"/>
      <c r="H144" s="31"/>
      <c r="I144" s="34"/>
      <c r="J144" s="34"/>
      <c r="K144" s="34"/>
      <c r="L144" s="34"/>
      <c r="M144" s="34"/>
      <c r="N144" s="34"/>
      <c r="O144" s="34"/>
      <c r="P144" s="34"/>
      <c r="Q144" s="34"/>
      <c r="R144" s="34"/>
      <c r="S144" s="12"/>
      <c r="T144" s="10"/>
      <c r="U144" s="10"/>
      <c r="V144" s="10"/>
      <c r="W144" s="23"/>
      <c r="X144" s="10"/>
      <c r="Y144" s="10"/>
      <c r="Z144" s="10"/>
      <c r="AA144" s="10"/>
      <c r="AB144" s="10"/>
      <c r="AC144" s="10"/>
    </row>
    <row r="145" s="2" customFormat="1" spans="1:29">
      <c r="A145" s="10"/>
      <c r="B145" s="23"/>
      <c r="C145" s="28"/>
      <c r="D145" s="29"/>
      <c r="E145" s="35"/>
      <c r="F145" s="23"/>
      <c r="G145" s="23"/>
      <c r="H145" s="36"/>
      <c r="I145" s="34"/>
      <c r="J145" s="34"/>
      <c r="K145" s="34"/>
      <c r="L145" s="34"/>
      <c r="M145" s="34"/>
      <c r="N145" s="34"/>
      <c r="O145" s="34"/>
      <c r="P145" s="34"/>
      <c r="Q145" s="34"/>
      <c r="R145" s="34"/>
      <c r="S145" s="35"/>
      <c r="T145" s="10"/>
      <c r="U145" s="10"/>
      <c r="V145" s="10"/>
      <c r="W145" s="23"/>
      <c r="X145" s="10"/>
      <c r="Y145" s="10"/>
      <c r="Z145" s="10"/>
      <c r="AA145" s="10"/>
      <c r="AB145" s="10"/>
      <c r="AC145" s="10"/>
    </row>
    <row r="146" s="2" customFormat="1" spans="1:29">
      <c r="A146" s="10"/>
      <c r="B146" s="23"/>
      <c r="C146" s="28"/>
      <c r="D146" s="29"/>
      <c r="E146" s="33"/>
      <c r="F146" s="23"/>
      <c r="G146" s="23"/>
      <c r="H146" s="32"/>
      <c r="I146" s="34"/>
      <c r="J146" s="34"/>
      <c r="K146" s="34"/>
      <c r="L146" s="34"/>
      <c r="M146" s="34"/>
      <c r="N146" s="34"/>
      <c r="O146" s="34"/>
      <c r="P146" s="34"/>
      <c r="Q146" s="34"/>
      <c r="R146" s="34"/>
      <c r="S146" s="35"/>
      <c r="T146" s="10"/>
      <c r="U146" s="10"/>
      <c r="V146" s="10"/>
      <c r="W146" s="23"/>
      <c r="X146" s="10"/>
      <c r="Y146" s="10"/>
      <c r="Z146" s="10"/>
      <c r="AA146" s="10"/>
      <c r="AB146" s="10"/>
      <c r="AC146" s="10"/>
    </row>
    <row r="147" s="2" customFormat="1" spans="1:29">
      <c r="A147" s="10"/>
      <c r="B147" s="23"/>
      <c r="C147" s="28"/>
      <c r="D147" s="29"/>
      <c r="E147" s="33"/>
      <c r="F147" s="23"/>
      <c r="G147" s="23"/>
      <c r="H147" s="32"/>
      <c r="I147" s="34"/>
      <c r="J147" s="34"/>
      <c r="K147" s="34"/>
      <c r="L147" s="34"/>
      <c r="M147" s="34"/>
      <c r="N147" s="34"/>
      <c r="O147" s="34"/>
      <c r="P147" s="34"/>
      <c r="Q147" s="34"/>
      <c r="R147" s="34"/>
      <c r="S147" s="35"/>
      <c r="T147" s="10"/>
      <c r="U147" s="10"/>
      <c r="V147" s="10"/>
      <c r="W147" s="23"/>
      <c r="X147" s="10"/>
      <c r="Y147" s="10"/>
      <c r="Z147" s="10"/>
      <c r="AA147" s="10"/>
      <c r="AB147" s="10"/>
      <c r="AC147" s="10"/>
    </row>
    <row r="148" s="2" customFormat="1" spans="1:29">
      <c r="A148" s="10"/>
      <c r="B148" s="23"/>
      <c r="C148" s="28"/>
      <c r="D148" s="29"/>
      <c r="E148" s="33"/>
      <c r="F148" s="23"/>
      <c r="G148" s="23"/>
      <c r="H148" s="32"/>
      <c r="I148" s="34"/>
      <c r="J148" s="34"/>
      <c r="K148" s="34"/>
      <c r="L148" s="34"/>
      <c r="M148" s="34"/>
      <c r="N148" s="34"/>
      <c r="O148" s="34"/>
      <c r="P148" s="34"/>
      <c r="Q148" s="34"/>
      <c r="R148" s="34"/>
      <c r="S148" s="35"/>
      <c r="T148" s="10"/>
      <c r="U148" s="10"/>
      <c r="V148" s="10"/>
      <c r="W148" s="23"/>
      <c r="X148" s="10"/>
      <c r="Y148" s="10"/>
      <c r="Z148" s="10"/>
      <c r="AA148" s="10"/>
      <c r="AB148" s="10"/>
      <c r="AC148" s="10"/>
    </row>
    <row r="149" s="2" customFormat="1" spans="1:29">
      <c r="A149" s="10"/>
      <c r="B149" s="23"/>
      <c r="C149" s="28"/>
      <c r="D149" s="29"/>
      <c r="E149" s="33"/>
      <c r="F149" s="23"/>
      <c r="G149" s="23"/>
      <c r="H149" s="32"/>
      <c r="I149" s="34"/>
      <c r="J149" s="34"/>
      <c r="K149" s="34"/>
      <c r="L149" s="34"/>
      <c r="M149" s="34"/>
      <c r="N149" s="34"/>
      <c r="O149" s="34"/>
      <c r="P149" s="34"/>
      <c r="Q149" s="34"/>
      <c r="R149" s="34"/>
      <c r="S149" s="35"/>
      <c r="T149" s="10"/>
      <c r="U149" s="10"/>
      <c r="V149" s="10"/>
      <c r="W149" s="23"/>
      <c r="X149" s="10"/>
      <c r="Y149" s="10"/>
      <c r="Z149" s="10"/>
      <c r="AA149" s="10"/>
      <c r="AB149" s="10"/>
      <c r="AC149" s="10"/>
    </row>
    <row r="150" s="2" customFormat="1" spans="1:29">
      <c r="A150" s="10"/>
      <c r="B150" s="23"/>
      <c r="C150" s="28"/>
      <c r="D150" s="29"/>
      <c r="E150" s="33"/>
      <c r="F150" s="23"/>
      <c r="G150" s="23"/>
      <c r="H150" s="32"/>
      <c r="I150" s="34"/>
      <c r="J150" s="34"/>
      <c r="K150" s="34"/>
      <c r="L150" s="34"/>
      <c r="M150" s="34"/>
      <c r="N150" s="34"/>
      <c r="O150" s="34"/>
      <c r="P150" s="34"/>
      <c r="Q150" s="34"/>
      <c r="R150" s="34"/>
      <c r="S150" s="35"/>
      <c r="T150" s="10"/>
      <c r="U150" s="10"/>
      <c r="V150" s="10"/>
      <c r="W150" s="23"/>
      <c r="X150" s="10"/>
      <c r="Y150" s="10"/>
      <c r="Z150" s="10"/>
      <c r="AA150" s="10"/>
      <c r="AB150" s="10"/>
      <c r="AC150" s="10"/>
    </row>
    <row r="151" s="2" customFormat="1" spans="1:29">
      <c r="A151" s="10"/>
      <c r="B151" s="23"/>
      <c r="C151" s="28"/>
      <c r="D151" s="29"/>
      <c r="E151" s="33"/>
      <c r="F151" s="23"/>
      <c r="G151" s="23"/>
      <c r="H151" s="32"/>
      <c r="I151" s="34"/>
      <c r="J151" s="34"/>
      <c r="K151" s="34"/>
      <c r="L151" s="34"/>
      <c r="M151" s="34"/>
      <c r="N151" s="34"/>
      <c r="O151" s="34"/>
      <c r="P151" s="34"/>
      <c r="Q151" s="34"/>
      <c r="R151" s="34"/>
      <c r="S151" s="35"/>
      <c r="T151" s="10"/>
      <c r="U151" s="10"/>
      <c r="V151" s="10"/>
      <c r="W151" s="23"/>
      <c r="X151" s="10"/>
      <c r="Y151" s="10"/>
      <c r="Z151" s="10"/>
      <c r="AA151" s="10"/>
      <c r="AB151" s="10"/>
      <c r="AC151" s="10"/>
    </row>
    <row r="152" s="2" customFormat="1" spans="1:29">
      <c r="A152" s="10"/>
      <c r="B152" s="23"/>
      <c r="C152" s="28"/>
      <c r="D152" s="29"/>
      <c r="E152" s="33"/>
      <c r="F152" s="23"/>
      <c r="G152" s="23"/>
      <c r="H152" s="32"/>
      <c r="I152" s="34"/>
      <c r="J152" s="34"/>
      <c r="K152" s="34"/>
      <c r="L152" s="34"/>
      <c r="M152" s="34"/>
      <c r="N152" s="34"/>
      <c r="O152" s="34"/>
      <c r="P152" s="34"/>
      <c r="Q152" s="34"/>
      <c r="R152" s="34"/>
      <c r="S152" s="12"/>
      <c r="T152" s="10"/>
      <c r="U152" s="10"/>
      <c r="V152" s="10"/>
      <c r="W152" s="23"/>
      <c r="X152" s="10"/>
      <c r="Y152" s="10"/>
      <c r="Z152" s="10"/>
      <c r="AA152" s="10"/>
      <c r="AB152" s="10"/>
      <c r="AC152" s="10"/>
    </row>
    <row r="153" s="2" customFormat="1" spans="1:29">
      <c r="A153" s="10"/>
      <c r="B153" s="23"/>
      <c r="C153" s="28"/>
      <c r="D153" s="29"/>
      <c r="E153" s="33"/>
      <c r="F153" s="23"/>
      <c r="G153" s="23"/>
      <c r="H153" s="32"/>
      <c r="I153" s="34"/>
      <c r="J153" s="34"/>
      <c r="K153" s="34"/>
      <c r="L153" s="34"/>
      <c r="M153" s="34"/>
      <c r="N153" s="34"/>
      <c r="O153" s="34"/>
      <c r="P153" s="34"/>
      <c r="Q153" s="34"/>
      <c r="R153" s="34"/>
      <c r="S153" s="35"/>
      <c r="T153" s="10"/>
      <c r="U153" s="10"/>
      <c r="V153" s="10"/>
      <c r="W153" s="23"/>
      <c r="X153" s="10"/>
      <c r="Y153" s="10"/>
      <c r="Z153" s="10"/>
      <c r="AA153" s="10"/>
      <c r="AB153" s="10"/>
      <c r="AC153" s="10"/>
    </row>
    <row r="154" s="2" customFormat="1" spans="1:29">
      <c r="A154" s="10"/>
      <c r="B154" s="23"/>
      <c r="C154" s="28"/>
      <c r="D154" s="29"/>
      <c r="E154" s="33"/>
      <c r="F154" s="29"/>
      <c r="G154" s="23"/>
      <c r="H154" s="32"/>
      <c r="I154" s="34"/>
      <c r="J154" s="34"/>
      <c r="K154" s="34"/>
      <c r="L154" s="34"/>
      <c r="M154" s="34"/>
      <c r="N154" s="34"/>
      <c r="O154" s="34"/>
      <c r="P154" s="34"/>
      <c r="Q154" s="34"/>
      <c r="R154" s="34"/>
      <c r="S154" s="35"/>
      <c r="T154" s="10"/>
      <c r="U154" s="10"/>
      <c r="V154" s="10"/>
      <c r="W154" s="23"/>
      <c r="X154" s="10"/>
      <c r="Y154" s="10"/>
      <c r="Z154" s="10"/>
      <c r="AA154" s="10"/>
      <c r="AB154" s="10"/>
      <c r="AC154" s="10"/>
    </row>
    <row r="155" s="2" customFormat="1" spans="1:29">
      <c r="A155" s="10"/>
      <c r="B155" s="23"/>
      <c r="C155" s="28"/>
      <c r="D155" s="29"/>
      <c r="E155" s="33"/>
      <c r="F155" s="29"/>
      <c r="G155" s="23"/>
      <c r="H155" s="32"/>
      <c r="I155" s="34"/>
      <c r="J155" s="34"/>
      <c r="K155" s="34"/>
      <c r="L155" s="34"/>
      <c r="M155" s="34"/>
      <c r="N155" s="34"/>
      <c r="O155" s="34"/>
      <c r="P155" s="34"/>
      <c r="Q155" s="34"/>
      <c r="R155" s="34"/>
      <c r="S155" s="12"/>
      <c r="T155" s="10"/>
      <c r="U155" s="10"/>
      <c r="V155" s="10"/>
      <c r="W155" s="23"/>
      <c r="X155" s="10"/>
      <c r="Y155" s="10"/>
      <c r="Z155" s="10"/>
      <c r="AA155" s="10"/>
      <c r="AB155" s="10"/>
      <c r="AC155" s="10"/>
    </row>
    <row r="156" s="2" customFormat="1" spans="1:29">
      <c r="A156" s="10"/>
      <c r="B156" s="23"/>
      <c r="C156" s="28"/>
      <c r="D156" s="29"/>
      <c r="E156" s="35"/>
      <c r="F156" s="23"/>
      <c r="G156" s="23"/>
      <c r="H156" s="36"/>
      <c r="I156" s="34"/>
      <c r="J156" s="34"/>
      <c r="K156" s="34"/>
      <c r="L156" s="34"/>
      <c r="M156" s="34"/>
      <c r="N156" s="34"/>
      <c r="O156" s="34"/>
      <c r="P156" s="34"/>
      <c r="Q156" s="34"/>
      <c r="R156" s="34"/>
      <c r="S156" s="35"/>
      <c r="T156" s="10"/>
      <c r="U156" s="10"/>
      <c r="V156" s="10"/>
      <c r="W156" s="23"/>
      <c r="X156" s="10"/>
      <c r="Y156" s="10"/>
      <c r="Z156" s="10"/>
      <c r="AA156" s="10"/>
      <c r="AB156" s="10"/>
      <c r="AC156" s="10"/>
    </row>
    <row r="157" s="2" customFormat="1" spans="1:29">
      <c r="A157" s="10"/>
      <c r="B157" s="23"/>
      <c r="C157" s="28"/>
      <c r="D157" s="29"/>
      <c r="E157" s="35"/>
      <c r="F157" s="23"/>
      <c r="G157" s="23"/>
      <c r="H157" s="36"/>
      <c r="I157" s="34"/>
      <c r="J157" s="34"/>
      <c r="K157" s="34"/>
      <c r="L157" s="34"/>
      <c r="M157" s="34"/>
      <c r="N157" s="34"/>
      <c r="O157" s="34"/>
      <c r="P157" s="34"/>
      <c r="Q157" s="34"/>
      <c r="R157" s="34"/>
      <c r="S157" s="35"/>
      <c r="T157" s="10"/>
      <c r="U157" s="10"/>
      <c r="V157" s="10"/>
      <c r="W157" s="23"/>
      <c r="X157" s="10"/>
      <c r="Y157" s="10"/>
      <c r="Z157" s="10"/>
      <c r="AA157" s="10"/>
      <c r="AB157" s="10"/>
      <c r="AC157" s="10"/>
    </row>
    <row r="158" s="2" customFormat="1" spans="1:29">
      <c r="A158" s="10"/>
      <c r="B158" s="23"/>
      <c r="C158" s="28"/>
      <c r="D158" s="29"/>
      <c r="E158" s="37"/>
      <c r="F158" s="10"/>
      <c r="G158" s="23"/>
      <c r="H158" s="31"/>
      <c r="I158" s="34"/>
      <c r="J158" s="34"/>
      <c r="K158" s="34"/>
      <c r="L158" s="34"/>
      <c r="M158" s="34"/>
      <c r="N158" s="34"/>
      <c r="O158" s="34"/>
      <c r="P158" s="34"/>
      <c r="Q158" s="34"/>
      <c r="R158" s="34"/>
      <c r="S158" s="12"/>
      <c r="T158" s="10"/>
      <c r="U158" s="10"/>
      <c r="V158" s="10"/>
      <c r="W158" s="23"/>
      <c r="X158" s="10"/>
      <c r="Y158" s="10"/>
      <c r="Z158" s="10"/>
      <c r="AA158" s="10"/>
      <c r="AB158" s="10"/>
      <c r="AC158" s="10"/>
    </row>
    <row r="159" s="2" customFormat="1" spans="1:29">
      <c r="A159" s="10"/>
      <c r="B159" s="23"/>
      <c r="C159" s="28"/>
      <c r="D159" s="29"/>
      <c r="E159" s="37"/>
      <c r="F159" s="10"/>
      <c r="G159" s="23"/>
      <c r="H159" s="31"/>
      <c r="I159" s="34"/>
      <c r="J159" s="34"/>
      <c r="K159" s="34"/>
      <c r="L159" s="34"/>
      <c r="M159" s="34"/>
      <c r="N159" s="34"/>
      <c r="O159" s="34"/>
      <c r="P159" s="34"/>
      <c r="Q159" s="34"/>
      <c r="R159" s="34"/>
      <c r="S159" s="35"/>
      <c r="T159" s="10"/>
      <c r="U159" s="10"/>
      <c r="V159" s="10"/>
      <c r="W159" s="23"/>
      <c r="X159" s="10"/>
      <c r="Y159" s="10"/>
      <c r="Z159" s="10"/>
      <c r="AA159" s="10"/>
      <c r="AB159" s="10"/>
      <c r="AC159" s="10"/>
    </row>
    <row r="160" s="2" customFormat="1" spans="1:29">
      <c r="A160" s="10"/>
      <c r="B160" s="23"/>
      <c r="C160" s="28"/>
      <c r="D160" s="29"/>
      <c r="E160" s="37"/>
      <c r="F160" s="10"/>
      <c r="G160" s="23"/>
      <c r="H160" s="31"/>
      <c r="I160" s="34"/>
      <c r="J160" s="34"/>
      <c r="K160" s="34"/>
      <c r="L160" s="34"/>
      <c r="M160" s="34"/>
      <c r="N160" s="34"/>
      <c r="O160" s="34"/>
      <c r="P160" s="34"/>
      <c r="Q160" s="34"/>
      <c r="R160" s="34"/>
      <c r="S160" s="12"/>
      <c r="T160" s="10"/>
      <c r="U160" s="10"/>
      <c r="V160" s="10"/>
      <c r="W160" s="23"/>
      <c r="X160" s="10"/>
      <c r="Y160" s="10"/>
      <c r="Z160" s="10"/>
      <c r="AA160" s="10"/>
      <c r="AB160" s="10"/>
      <c r="AC160" s="10"/>
    </row>
    <row r="161" s="2" customFormat="1" spans="1:29">
      <c r="A161" s="10"/>
      <c r="B161" s="23"/>
      <c r="C161" s="28"/>
      <c r="D161" s="29"/>
      <c r="E161" s="35"/>
      <c r="F161" s="23"/>
      <c r="G161" s="23"/>
      <c r="H161" s="32"/>
      <c r="I161" s="34"/>
      <c r="J161" s="34"/>
      <c r="K161" s="34"/>
      <c r="L161" s="34"/>
      <c r="M161" s="34"/>
      <c r="N161" s="34"/>
      <c r="O161" s="34"/>
      <c r="P161" s="34"/>
      <c r="Q161" s="34"/>
      <c r="R161" s="34"/>
      <c r="S161" s="12"/>
      <c r="T161" s="10"/>
      <c r="U161" s="10"/>
      <c r="V161" s="10"/>
      <c r="W161" s="23"/>
      <c r="X161" s="10"/>
      <c r="Y161" s="10"/>
      <c r="Z161" s="10"/>
      <c r="AA161" s="10"/>
      <c r="AB161" s="10"/>
      <c r="AC161" s="10"/>
    </row>
    <row r="162" s="2" customFormat="1" spans="1:29">
      <c r="A162" s="10"/>
      <c r="B162" s="23"/>
      <c r="C162" s="28"/>
      <c r="D162" s="29"/>
      <c r="E162" s="35"/>
      <c r="F162" s="23"/>
      <c r="G162" s="23"/>
      <c r="H162" s="32"/>
      <c r="I162" s="34"/>
      <c r="J162" s="34"/>
      <c r="K162" s="34"/>
      <c r="L162" s="34"/>
      <c r="M162" s="34"/>
      <c r="N162" s="34"/>
      <c r="O162" s="34"/>
      <c r="P162" s="34"/>
      <c r="Q162" s="34"/>
      <c r="R162" s="34"/>
      <c r="S162" s="12"/>
      <c r="T162" s="10"/>
      <c r="U162" s="10"/>
      <c r="V162" s="10"/>
      <c r="W162" s="23"/>
      <c r="X162" s="10"/>
      <c r="Y162" s="10"/>
      <c r="Z162" s="10"/>
      <c r="AA162" s="10"/>
      <c r="AB162" s="10"/>
      <c r="AC162" s="10"/>
    </row>
    <row r="163" s="2" customFormat="1" spans="1:29">
      <c r="A163" s="10"/>
      <c r="B163" s="23"/>
      <c r="C163" s="28"/>
      <c r="D163" s="29"/>
      <c r="E163" s="35"/>
      <c r="F163" s="23"/>
      <c r="G163" s="23"/>
      <c r="H163" s="32"/>
      <c r="I163" s="34"/>
      <c r="J163" s="34"/>
      <c r="K163" s="34"/>
      <c r="L163" s="34"/>
      <c r="M163" s="34"/>
      <c r="N163" s="34"/>
      <c r="O163" s="34"/>
      <c r="P163" s="34"/>
      <c r="Q163" s="34"/>
      <c r="R163" s="34"/>
      <c r="S163" s="12"/>
      <c r="T163" s="10"/>
      <c r="U163" s="10"/>
      <c r="V163" s="10"/>
      <c r="W163" s="23"/>
      <c r="X163" s="10"/>
      <c r="Y163" s="10"/>
      <c r="Z163" s="10"/>
      <c r="AA163" s="10"/>
      <c r="AB163" s="10"/>
      <c r="AC163" s="10"/>
    </row>
    <row r="164" s="2" customFormat="1" spans="1:29">
      <c r="A164" s="10"/>
      <c r="B164" s="23"/>
      <c r="C164" s="28"/>
      <c r="D164" s="29"/>
      <c r="E164" s="35"/>
      <c r="F164" s="23"/>
      <c r="G164" s="23"/>
      <c r="H164" s="32"/>
      <c r="I164" s="34"/>
      <c r="J164" s="34"/>
      <c r="K164" s="34"/>
      <c r="L164" s="34"/>
      <c r="M164" s="34"/>
      <c r="N164" s="34"/>
      <c r="O164" s="34"/>
      <c r="P164" s="34"/>
      <c r="Q164" s="34"/>
      <c r="R164" s="34"/>
      <c r="S164" s="12"/>
      <c r="T164" s="10"/>
      <c r="U164" s="10"/>
      <c r="V164" s="10"/>
      <c r="W164" s="23"/>
      <c r="X164" s="10"/>
      <c r="Y164" s="10"/>
      <c r="Z164" s="10"/>
      <c r="AA164" s="10"/>
      <c r="AB164" s="10"/>
      <c r="AC164" s="10"/>
    </row>
    <row r="165" s="2" customFormat="1" spans="1:29">
      <c r="A165" s="10"/>
      <c r="B165" s="23"/>
      <c r="C165" s="28"/>
      <c r="D165" s="29"/>
      <c r="E165" s="35"/>
      <c r="F165" s="23"/>
      <c r="G165" s="23"/>
      <c r="H165" s="32"/>
      <c r="I165" s="34"/>
      <c r="J165" s="34"/>
      <c r="K165" s="34"/>
      <c r="L165" s="34"/>
      <c r="M165" s="34"/>
      <c r="N165" s="34"/>
      <c r="O165" s="34"/>
      <c r="P165" s="34"/>
      <c r="Q165" s="34"/>
      <c r="R165" s="34"/>
      <c r="S165" s="12"/>
      <c r="T165" s="10"/>
      <c r="U165" s="10"/>
      <c r="V165" s="10"/>
      <c r="W165" s="23"/>
      <c r="X165" s="10"/>
      <c r="Y165" s="10"/>
      <c r="Z165" s="10"/>
      <c r="AA165" s="10"/>
      <c r="AB165" s="10"/>
      <c r="AC165" s="10"/>
    </row>
    <row r="166" s="2" customFormat="1" spans="1:29">
      <c r="A166" s="10"/>
      <c r="B166" s="23"/>
      <c r="C166" s="28"/>
      <c r="D166" s="29"/>
      <c r="E166" s="35"/>
      <c r="F166" s="23"/>
      <c r="G166" s="23"/>
      <c r="H166" s="32"/>
      <c r="I166" s="34"/>
      <c r="J166" s="34"/>
      <c r="K166" s="34"/>
      <c r="L166" s="34"/>
      <c r="M166" s="34"/>
      <c r="N166" s="34"/>
      <c r="O166" s="34"/>
      <c r="P166" s="34"/>
      <c r="Q166" s="34"/>
      <c r="R166" s="34"/>
      <c r="S166" s="12"/>
      <c r="T166" s="10"/>
      <c r="U166" s="10"/>
      <c r="V166" s="10"/>
      <c r="W166" s="23"/>
      <c r="X166" s="10"/>
      <c r="Y166" s="10"/>
      <c r="Z166" s="10"/>
      <c r="AA166" s="10"/>
      <c r="AB166" s="10"/>
      <c r="AC166" s="10"/>
    </row>
    <row r="167" s="2" customFormat="1" spans="1:29">
      <c r="A167" s="10"/>
      <c r="B167" s="23"/>
      <c r="C167" s="28"/>
      <c r="D167" s="29"/>
      <c r="E167" s="35"/>
      <c r="F167" s="23"/>
      <c r="G167" s="23"/>
      <c r="H167" s="32"/>
      <c r="I167" s="34"/>
      <c r="J167" s="34"/>
      <c r="K167" s="34"/>
      <c r="L167" s="34"/>
      <c r="M167" s="34"/>
      <c r="N167" s="34"/>
      <c r="O167" s="34"/>
      <c r="P167" s="34"/>
      <c r="Q167" s="34"/>
      <c r="R167" s="34"/>
      <c r="S167" s="12"/>
      <c r="T167" s="10"/>
      <c r="U167" s="10"/>
      <c r="V167" s="10"/>
      <c r="W167" s="23"/>
      <c r="X167" s="10"/>
      <c r="Y167" s="10"/>
      <c r="Z167" s="10"/>
      <c r="AA167" s="10"/>
      <c r="AB167" s="10"/>
      <c r="AC167" s="10"/>
    </row>
    <row r="168" s="2" customFormat="1" spans="1:29">
      <c r="A168" s="10"/>
      <c r="B168" s="23"/>
      <c r="C168" s="28"/>
      <c r="D168" s="29"/>
      <c r="E168" s="12"/>
      <c r="F168" s="23"/>
      <c r="G168" s="23"/>
      <c r="H168" s="32"/>
      <c r="I168" s="34"/>
      <c r="J168" s="34"/>
      <c r="K168" s="34"/>
      <c r="L168" s="34"/>
      <c r="M168" s="34"/>
      <c r="N168" s="34"/>
      <c r="O168" s="34"/>
      <c r="P168" s="34"/>
      <c r="Q168" s="34"/>
      <c r="R168" s="34"/>
      <c r="S168" s="12"/>
      <c r="T168" s="10"/>
      <c r="U168" s="10"/>
      <c r="V168" s="10"/>
      <c r="W168" s="23"/>
      <c r="X168" s="10"/>
      <c r="Y168" s="10"/>
      <c r="Z168" s="10"/>
      <c r="AA168" s="10"/>
      <c r="AB168" s="10"/>
      <c r="AC168" s="10"/>
    </row>
    <row r="169" s="2" customFormat="1" spans="1:29">
      <c r="A169" s="10"/>
      <c r="B169" s="23"/>
      <c r="C169" s="28"/>
      <c r="D169" s="29"/>
      <c r="E169" s="12"/>
      <c r="F169" s="23"/>
      <c r="G169" s="23"/>
      <c r="H169" s="32"/>
      <c r="I169" s="34"/>
      <c r="J169" s="34"/>
      <c r="K169" s="34"/>
      <c r="L169" s="34"/>
      <c r="M169" s="34"/>
      <c r="N169" s="34"/>
      <c r="O169" s="34"/>
      <c r="P169" s="34"/>
      <c r="Q169" s="34"/>
      <c r="R169" s="34"/>
      <c r="S169" s="12"/>
      <c r="T169" s="10"/>
      <c r="U169" s="10"/>
      <c r="V169" s="10"/>
      <c r="W169" s="23"/>
      <c r="X169" s="10"/>
      <c r="Y169" s="10"/>
      <c r="Z169" s="10"/>
      <c r="AA169" s="10"/>
      <c r="AB169" s="10"/>
      <c r="AC169" s="10"/>
    </row>
    <row r="170" s="2" customFormat="1" spans="1:29">
      <c r="A170" s="10"/>
      <c r="B170" s="23"/>
      <c r="C170" s="28"/>
      <c r="D170" s="29"/>
      <c r="E170" s="12"/>
      <c r="F170" s="23"/>
      <c r="G170" s="23"/>
      <c r="H170" s="17"/>
      <c r="I170" s="34"/>
      <c r="J170" s="34"/>
      <c r="K170" s="34"/>
      <c r="L170" s="34"/>
      <c r="M170" s="34"/>
      <c r="N170" s="34"/>
      <c r="O170" s="34"/>
      <c r="P170" s="34"/>
      <c r="Q170" s="34"/>
      <c r="R170" s="34"/>
      <c r="S170" s="12"/>
      <c r="T170" s="10"/>
      <c r="U170" s="10"/>
      <c r="V170" s="10"/>
      <c r="W170" s="23"/>
      <c r="X170" s="10"/>
      <c r="Y170" s="10"/>
      <c r="Z170" s="10"/>
      <c r="AA170" s="10"/>
      <c r="AB170" s="10"/>
      <c r="AC170" s="10"/>
    </row>
    <row r="171" s="2" customFormat="1" spans="1:29">
      <c r="A171" s="10"/>
      <c r="B171" s="23"/>
      <c r="C171" s="28"/>
      <c r="D171" s="29"/>
      <c r="E171" s="37"/>
      <c r="F171" s="10"/>
      <c r="G171" s="23"/>
      <c r="H171" s="31"/>
      <c r="I171" s="34"/>
      <c r="J171" s="34"/>
      <c r="K171" s="34"/>
      <c r="L171" s="34"/>
      <c r="M171" s="34"/>
      <c r="N171" s="34"/>
      <c r="O171" s="34"/>
      <c r="P171" s="34"/>
      <c r="Q171" s="34"/>
      <c r="R171" s="34"/>
      <c r="S171" s="12"/>
      <c r="T171" s="10"/>
      <c r="U171" s="10"/>
      <c r="V171" s="10"/>
      <c r="W171" s="23"/>
      <c r="X171" s="10"/>
      <c r="Y171" s="10"/>
      <c r="Z171" s="10"/>
      <c r="AA171" s="10"/>
      <c r="AB171" s="10"/>
      <c r="AC171" s="10"/>
    </row>
    <row r="172" s="2" customFormat="1" spans="1:29">
      <c r="A172" s="10"/>
      <c r="B172" s="23"/>
      <c r="C172" s="28"/>
      <c r="D172" s="29"/>
      <c r="E172" s="37"/>
      <c r="F172" s="10"/>
      <c r="G172" s="23"/>
      <c r="H172" s="31"/>
      <c r="I172" s="34"/>
      <c r="J172" s="34"/>
      <c r="K172" s="34"/>
      <c r="L172" s="34"/>
      <c r="M172" s="34"/>
      <c r="N172" s="34"/>
      <c r="O172" s="34"/>
      <c r="P172" s="34"/>
      <c r="Q172" s="34"/>
      <c r="R172" s="34"/>
      <c r="S172" s="12"/>
      <c r="T172" s="10"/>
      <c r="U172" s="10"/>
      <c r="V172" s="10"/>
      <c r="W172" s="23"/>
      <c r="X172" s="10"/>
      <c r="Y172" s="10"/>
      <c r="Z172" s="10"/>
      <c r="AA172" s="10"/>
      <c r="AB172" s="10"/>
      <c r="AC172" s="10"/>
    </row>
    <row r="173" s="2" customFormat="1" spans="1:29">
      <c r="A173" s="10"/>
      <c r="B173" s="23"/>
      <c r="C173" s="28"/>
      <c r="D173" s="29"/>
      <c r="E173" s="37"/>
      <c r="F173" s="10"/>
      <c r="G173" s="23"/>
      <c r="H173" s="31"/>
      <c r="I173" s="34"/>
      <c r="J173" s="34"/>
      <c r="K173" s="34"/>
      <c r="L173" s="34"/>
      <c r="M173" s="34"/>
      <c r="N173" s="34"/>
      <c r="O173" s="34"/>
      <c r="P173" s="34"/>
      <c r="Q173" s="34"/>
      <c r="R173" s="34"/>
      <c r="S173" s="12"/>
      <c r="T173" s="10"/>
      <c r="U173" s="10"/>
      <c r="V173" s="10"/>
      <c r="W173" s="23"/>
      <c r="X173" s="10"/>
      <c r="Y173" s="10"/>
      <c r="Z173" s="10"/>
      <c r="AA173" s="10"/>
      <c r="AB173" s="10"/>
      <c r="AC173" s="10"/>
    </row>
    <row r="174" s="2" customFormat="1" spans="1:29">
      <c r="A174" s="10"/>
      <c r="B174" s="23"/>
      <c r="C174" s="28"/>
      <c r="D174" s="29"/>
      <c r="E174" s="37"/>
      <c r="F174" s="10"/>
      <c r="G174" s="23"/>
      <c r="H174" s="31"/>
      <c r="I174" s="34"/>
      <c r="J174" s="34"/>
      <c r="K174" s="34"/>
      <c r="L174" s="34"/>
      <c r="M174" s="34"/>
      <c r="N174" s="34"/>
      <c r="O174" s="34"/>
      <c r="P174" s="34"/>
      <c r="Q174" s="34"/>
      <c r="R174" s="34"/>
      <c r="S174" s="12"/>
      <c r="T174" s="10"/>
      <c r="U174" s="10"/>
      <c r="V174" s="10"/>
      <c r="W174" s="23"/>
      <c r="X174" s="10"/>
      <c r="Y174" s="10"/>
      <c r="Z174" s="10"/>
      <c r="AA174" s="10"/>
      <c r="AB174" s="10"/>
      <c r="AC174" s="10"/>
    </row>
    <row r="175" s="2" customFormat="1" spans="1:29">
      <c r="A175" s="10"/>
      <c r="B175" s="23"/>
      <c r="C175" s="28"/>
      <c r="D175" s="29"/>
      <c r="E175" s="37"/>
      <c r="F175" s="10"/>
      <c r="G175" s="23"/>
      <c r="H175" s="31"/>
      <c r="I175" s="34"/>
      <c r="J175" s="34"/>
      <c r="K175" s="34"/>
      <c r="L175" s="34"/>
      <c r="M175" s="34"/>
      <c r="N175" s="34"/>
      <c r="O175" s="34"/>
      <c r="P175" s="34"/>
      <c r="Q175" s="34"/>
      <c r="R175" s="34"/>
      <c r="S175" s="12"/>
      <c r="T175" s="10"/>
      <c r="U175" s="10"/>
      <c r="V175" s="10"/>
      <c r="W175" s="23"/>
      <c r="X175" s="10"/>
      <c r="Y175" s="10"/>
      <c r="Z175" s="10"/>
      <c r="AA175" s="10"/>
      <c r="AB175" s="10"/>
      <c r="AC175" s="10"/>
    </row>
    <row r="176" s="2" customFormat="1" spans="1:29">
      <c r="A176" s="10"/>
      <c r="B176" s="23"/>
      <c r="C176" s="28"/>
      <c r="D176" s="29"/>
      <c r="E176" s="37"/>
      <c r="F176" s="10"/>
      <c r="G176" s="23"/>
      <c r="H176" s="31"/>
      <c r="I176" s="34"/>
      <c r="J176" s="34"/>
      <c r="K176" s="34"/>
      <c r="L176" s="34"/>
      <c r="M176" s="34"/>
      <c r="N176" s="34"/>
      <c r="O176" s="34"/>
      <c r="P176" s="34"/>
      <c r="Q176" s="34"/>
      <c r="R176" s="34"/>
      <c r="S176" s="12"/>
      <c r="T176" s="10"/>
      <c r="U176" s="10"/>
      <c r="V176" s="10"/>
      <c r="W176" s="23"/>
      <c r="X176" s="10"/>
      <c r="Y176" s="10"/>
      <c r="Z176" s="10"/>
      <c r="AA176" s="10"/>
      <c r="AB176" s="10"/>
      <c r="AC176" s="10"/>
    </row>
    <row r="177" s="2" customFormat="1" spans="1:29">
      <c r="A177" s="10"/>
      <c r="B177" s="23"/>
      <c r="C177" s="28"/>
      <c r="D177" s="29"/>
      <c r="E177" s="37"/>
      <c r="F177" s="10"/>
      <c r="G177" s="23"/>
      <c r="H177" s="31"/>
      <c r="I177" s="34"/>
      <c r="J177" s="34"/>
      <c r="K177" s="34"/>
      <c r="L177" s="34"/>
      <c r="M177" s="34"/>
      <c r="N177" s="34"/>
      <c r="O177" s="34"/>
      <c r="P177" s="34"/>
      <c r="Q177" s="34"/>
      <c r="R177" s="34"/>
      <c r="S177" s="12"/>
      <c r="T177" s="10"/>
      <c r="U177" s="10"/>
      <c r="V177" s="10"/>
      <c r="W177" s="23"/>
      <c r="X177" s="10"/>
      <c r="Y177" s="10"/>
      <c r="Z177" s="10"/>
      <c r="AA177" s="10"/>
      <c r="AB177" s="10"/>
      <c r="AC177" s="10"/>
    </row>
    <row r="178" s="2" customFormat="1" spans="1:29">
      <c r="A178" s="10"/>
      <c r="B178" s="23"/>
      <c r="C178" s="28"/>
      <c r="D178" s="29"/>
      <c r="E178" s="37"/>
      <c r="F178" s="10"/>
      <c r="G178" s="23"/>
      <c r="H178" s="31"/>
      <c r="I178" s="34"/>
      <c r="J178" s="34"/>
      <c r="K178" s="34"/>
      <c r="L178" s="34"/>
      <c r="M178" s="34"/>
      <c r="N178" s="34"/>
      <c r="O178" s="34"/>
      <c r="P178" s="34"/>
      <c r="Q178" s="34"/>
      <c r="R178" s="34"/>
      <c r="S178" s="12"/>
      <c r="T178" s="10"/>
      <c r="U178" s="10"/>
      <c r="V178" s="10"/>
      <c r="W178" s="23"/>
      <c r="X178" s="10"/>
      <c r="Y178" s="10"/>
      <c r="Z178" s="10"/>
      <c r="AA178" s="10"/>
      <c r="AB178" s="10"/>
      <c r="AC178" s="10"/>
    </row>
    <row r="179" s="2" customFormat="1" spans="1:29">
      <c r="A179" s="10"/>
      <c r="B179" s="23"/>
      <c r="C179" s="28"/>
      <c r="D179" s="29"/>
      <c r="E179" s="37"/>
      <c r="F179" s="10"/>
      <c r="G179" s="23"/>
      <c r="H179" s="31"/>
      <c r="I179" s="34"/>
      <c r="J179" s="34"/>
      <c r="K179" s="34"/>
      <c r="L179" s="34"/>
      <c r="M179" s="34"/>
      <c r="N179" s="34"/>
      <c r="O179" s="34"/>
      <c r="P179" s="34"/>
      <c r="Q179" s="34"/>
      <c r="R179" s="34"/>
      <c r="S179" s="12"/>
      <c r="T179" s="10"/>
      <c r="U179" s="10"/>
      <c r="V179" s="10"/>
      <c r="W179" s="23"/>
      <c r="X179" s="10"/>
      <c r="Y179" s="10"/>
      <c r="Z179" s="10"/>
      <c r="AA179" s="10"/>
      <c r="AB179" s="10"/>
      <c r="AC179" s="10"/>
    </row>
    <row r="180" s="2" customFormat="1" spans="1:29">
      <c r="A180" s="10"/>
      <c r="B180" s="23"/>
      <c r="C180" s="28"/>
      <c r="D180" s="29"/>
      <c r="E180" s="37"/>
      <c r="F180" s="10"/>
      <c r="G180" s="23"/>
      <c r="H180" s="31"/>
      <c r="I180" s="34"/>
      <c r="J180" s="34"/>
      <c r="K180" s="34"/>
      <c r="L180" s="34"/>
      <c r="M180" s="34"/>
      <c r="N180" s="34"/>
      <c r="O180" s="34"/>
      <c r="P180" s="34"/>
      <c r="Q180" s="34"/>
      <c r="R180" s="34"/>
      <c r="S180" s="12"/>
      <c r="T180" s="10"/>
      <c r="U180" s="10"/>
      <c r="V180" s="10"/>
      <c r="W180" s="23"/>
      <c r="X180" s="10"/>
      <c r="Y180" s="10"/>
      <c r="Z180" s="10"/>
      <c r="AA180" s="10"/>
      <c r="AB180" s="10"/>
      <c r="AC180" s="10"/>
    </row>
    <row r="181" s="2" customFormat="1" spans="1:29">
      <c r="A181" s="10"/>
      <c r="B181" s="23"/>
      <c r="C181" s="28"/>
      <c r="D181" s="29"/>
      <c r="E181" s="37"/>
      <c r="F181" s="10"/>
      <c r="G181" s="23"/>
      <c r="H181" s="31"/>
      <c r="I181" s="34"/>
      <c r="J181" s="34"/>
      <c r="K181" s="34"/>
      <c r="L181" s="34"/>
      <c r="M181" s="34"/>
      <c r="N181" s="34"/>
      <c r="O181" s="34"/>
      <c r="P181" s="34"/>
      <c r="Q181" s="34"/>
      <c r="R181" s="34"/>
      <c r="S181" s="12"/>
      <c r="T181" s="10"/>
      <c r="U181" s="10"/>
      <c r="V181" s="10"/>
      <c r="W181" s="23"/>
      <c r="X181" s="10"/>
      <c r="Y181" s="10"/>
      <c r="Z181" s="10"/>
      <c r="AA181" s="10"/>
      <c r="AB181" s="10"/>
      <c r="AC181" s="10"/>
    </row>
    <row r="182" s="2" customFormat="1" spans="1:29">
      <c r="A182" s="10"/>
      <c r="B182" s="23"/>
      <c r="C182" s="28"/>
      <c r="D182" s="29"/>
      <c r="E182" s="37"/>
      <c r="F182" s="23"/>
      <c r="G182" s="23"/>
      <c r="H182" s="31"/>
      <c r="I182" s="34"/>
      <c r="J182" s="34"/>
      <c r="K182" s="34"/>
      <c r="L182" s="34"/>
      <c r="M182" s="34"/>
      <c r="N182" s="34"/>
      <c r="O182" s="34"/>
      <c r="P182" s="34"/>
      <c r="Q182" s="34"/>
      <c r="R182" s="34"/>
      <c r="S182" s="12"/>
      <c r="T182" s="10"/>
      <c r="U182" s="10"/>
      <c r="V182" s="10"/>
      <c r="W182" s="23"/>
      <c r="X182" s="10"/>
      <c r="Y182" s="10"/>
      <c r="Z182" s="10"/>
      <c r="AA182" s="10"/>
      <c r="AB182" s="10"/>
      <c r="AC182" s="10"/>
    </row>
    <row r="183" s="2" customFormat="1" spans="1:29">
      <c r="A183" s="10"/>
      <c r="B183" s="23"/>
      <c r="C183" s="28"/>
      <c r="D183" s="29"/>
      <c r="E183" s="37"/>
      <c r="F183" s="23"/>
      <c r="G183" s="23"/>
      <c r="H183" s="31"/>
      <c r="I183" s="34"/>
      <c r="J183" s="34"/>
      <c r="K183" s="34"/>
      <c r="L183" s="34"/>
      <c r="M183" s="34"/>
      <c r="N183" s="34"/>
      <c r="O183" s="34"/>
      <c r="P183" s="34"/>
      <c r="Q183" s="34"/>
      <c r="R183" s="34"/>
      <c r="S183" s="35"/>
      <c r="T183" s="10"/>
      <c r="U183" s="10"/>
      <c r="V183" s="10"/>
      <c r="W183" s="23"/>
      <c r="X183" s="10"/>
      <c r="Y183" s="10"/>
      <c r="Z183" s="10"/>
      <c r="AA183" s="10"/>
      <c r="AB183" s="10"/>
      <c r="AC183" s="10"/>
    </row>
    <row r="184" s="2" customFormat="1" spans="1:29">
      <c r="A184" s="10"/>
      <c r="B184" s="23"/>
      <c r="C184" s="28"/>
      <c r="D184" s="29"/>
      <c r="E184" s="12"/>
      <c r="F184" s="23"/>
      <c r="G184" s="23"/>
      <c r="H184" s="17"/>
      <c r="I184" s="34"/>
      <c r="J184" s="34"/>
      <c r="K184" s="34"/>
      <c r="L184" s="34"/>
      <c r="M184" s="34"/>
      <c r="N184" s="34"/>
      <c r="O184" s="34"/>
      <c r="P184" s="34"/>
      <c r="Q184" s="34"/>
      <c r="R184" s="34"/>
      <c r="S184" s="12"/>
      <c r="T184" s="10"/>
      <c r="U184" s="10"/>
      <c r="V184" s="10"/>
      <c r="W184" s="23"/>
      <c r="X184" s="10"/>
      <c r="Y184" s="10"/>
      <c r="Z184" s="10"/>
      <c r="AA184" s="10"/>
      <c r="AB184" s="10"/>
      <c r="AC184" s="10"/>
    </row>
    <row r="185" s="2" customFormat="1" spans="1:29">
      <c r="A185" s="10"/>
      <c r="B185" s="23"/>
      <c r="C185" s="28"/>
      <c r="D185" s="29"/>
      <c r="E185" s="12"/>
      <c r="F185" s="23"/>
      <c r="G185" s="23"/>
      <c r="H185" s="17"/>
      <c r="I185" s="34"/>
      <c r="J185" s="34"/>
      <c r="K185" s="34"/>
      <c r="L185" s="34"/>
      <c r="M185" s="34"/>
      <c r="N185" s="34"/>
      <c r="O185" s="34"/>
      <c r="P185" s="34"/>
      <c r="Q185" s="34"/>
      <c r="R185" s="34"/>
      <c r="S185" s="12"/>
      <c r="T185" s="10"/>
      <c r="U185" s="10"/>
      <c r="V185" s="10"/>
      <c r="W185" s="23"/>
      <c r="X185" s="10"/>
      <c r="Y185" s="10"/>
      <c r="Z185" s="10"/>
      <c r="AA185" s="10"/>
      <c r="AB185" s="10"/>
      <c r="AC185" s="10"/>
    </row>
    <row r="186" s="2" customFormat="1" spans="1:29">
      <c r="A186" s="10"/>
      <c r="B186" s="23"/>
      <c r="C186" s="28"/>
      <c r="D186" s="29"/>
      <c r="E186" s="12"/>
      <c r="F186" s="23"/>
      <c r="G186" s="23"/>
      <c r="H186" s="17"/>
      <c r="I186" s="34"/>
      <c r="J186" s="34"/>
      <c r="K186" s="34"/>
      <c r="L186" s="34"/>
      <c r="M186" s="34"/>
      <c r="N186" s="34"/>
      <c r="O186" s="34"/>
      <c r="P186" s="34"/>
      <c r="Q186" s="34"/>
      <c r="R186" s="34"/>
      <c r="S186" s="12"/>
      <c r="T186" s="10"/>
      <c r="U186" s="10"/>
      <c r="V186" s="10"/>
      <c r="W186" s="23"/>
      <c r="X186" s="10"/>
      <c r="Y186" s="10"/>
      <c r="Z186" s="10"/>
      <c r="AA186" s="10"/>
      <c r="AB186" s="10"/>
      <c r="AC186" s="10"/>
    </row>
    <row r="187" s="2" customFormat="1" spans="1:29">
      <c r="A187" s="10"/>
      <c r="B187" s="23"/>
      <c r="C187" s="28"/>
      <c r="D187" s="29"/>
      <c r="E187" s="35"/>
      <c r="F187" s="23"/>
      <c r="G187" s="23"/>
      <c r="H187" s="36"/>
      <c r="I187" s="34"/>
      <c r="J187" s="34"/>
      <c r="K187" s="34"/>
      <c r="L187" s="34"/>
      <c r="M187" s="34"/>
      <c r="N187" s="34"/>
      <c r="O187" s="34"/>
      <c r="P187" s="34"/>
      <c r="Q187" s="34"/>
      <c r="R187" s="34"/>
      <c r="S187" s="12"/>
      <c r="T187" s="10"/>
      <c r="U187" s="10"/>
      <c r="V187" s="10"/>
      <c r="W187" s="23"/>
      <c r="X187" s="10"/>
      <c r="Y187" s="10"/>
      <c r="Z187" s="10"/>
      <c r="AA187" s="10"/>
      <c r="AB187" s="10"/>
      <c r="AC187" s="10"/>
    </row>
    <row r="188" s="2" customFormat="1" spans="1:29">
      <c r="A188" s="10"/>
      <c r="B188" s="23"/>
      <c r="C188" s="28"/>
      <c r="D188" s="29"/>
      <c r="E188" s="35"/>
      <c r="F188" s="23"/>
      <c r="G188" s="23"/>
      <c r="H188" s="36"/>
      <c r="I188" s="34"/>
      <c r="J188" s="34"/>
      <c r="K188" s="34"/>
      <c r="L188" s="34"/>
      <c r="M188" s="34"/>
      <c r="N188" s="34"/>
      <c r="O188" s="34"/>
      <c r="P188" s="34"/>
      <c r="Q188" s="34"/>
      <c r="R188" s="34"/>
      <c r="S188" s="12"/>
      <c r="T188" s="10"/>
      <c r="U188" s="10"/>
      <c r="V188" s="10"/>
      <c r="W188" s="23"/>
      <c r="X188" s="10"/>
      <c r="Y188" s="10"/>
      <c r="Z188" s="10"/>
      <c r="AA188" s="10"/>
      <c r="AB188" s="10"/>
      <c r="AC188" s="10"/>
    </row>
    <row r="189" s="2" customFormat="1" spans="1:29">
      <c r="A189" s="10"/>
      <c r="B189" s="23"/>
      <c r="C189" s="28"/>
      <c r="D189" s="29"/>
      <c r="E189" s="35"/>
      <c r="F189" s="23"/>
      <c r="G189" s="23"/>
      <c r="H189" s="36"/>
      <c r="I189" s="34"/>
      <c r="J189" s="34"/>
      <c r="K189" s="34"/>
      <c r="L189" s="34"/>
      <c r="M189" s="34"/>
      <c r="N189" s="34"/>
      <c r="O189" s="34"/>
      <c r="P189" s="34"/>
      <c r="Q189" s="34"/>
      <c r="R189" s="34"/>
      <c r="S189" s="12"/>
      <c r="T189" s="10"/>
      <c r="U189" s="10"/>
      <c r="V189" s="10"/>
      <c r="W189" s="23"/>
      <c r="X189" s="10"/>
      <c r="Y189" s="10"/>
      <c r="Z189" s="10"/>
      <c r="AA189" s="10"/>
      <c r="AB189" s="10"/>
      <c r="AC189" s="10"/>
    </row>
    <row r="190" s="2" customFormat="1" spans="1:29">
      <c r="A190" s="10"/>
      <c r="B190" s="23"/>
      <c r="C190" s="28"/>
      <c r="D190" s="29"/>
      <c r="E190" s="35"/>
      <c r="F190" s="23"/>
      <c r="G190" s="23"/>
      <c r="H190" s="36"/>
      <c r="I190" s="34"/>
      <c r="J190" s="34"/>
      <c r="K190" s="34"/>
      <c r="L190" s="34"/>
      <c r="M190" s="34"/>
      <c r="N190" s="34"/>
      <c r="O190" s="34"/>
      <c r="P190" s="34"/>
      <c r="Q190" s="34"/>
      <c r="R190" s="34"/>
      <c r="S190" s="12"/>
      <c r="T190" s="10"/>
      <c r="U190" s="10"/>
      <c r="V190" s="10"/>
      <c r="W190" s="23"/>
      <c r="X190" s="10"/>
      <c r="Y190" s="10"/>
      <c r="Z190" s="10"/>
      <c r="AA190" s="10"/>
      <c r="AB190" s="10"/>
      <c r="AC190" s="10"/>
    </row>
    <row r="191" s="2" customFormat="1" spans="1:29">
      <c r="A191" s="10"/>
      <c r="B191" s="23"/>
      <c r="C191" s="28"/>
      <c r="D191" s="29"/>
      <c r="E191" s="35"/>
      <c r="F191" s="23"/>
      <c r="G191" s="23"/>
      <c r="H191" s="36"/>
      <c r="I191" s="34"/>
      <c r="J191" s="34"/>
      <c r="K191" s="34"/>
      <c r="L191" s="34"/>
      <c r="M191" s="34"/>
      <c r="N191" s="34"/>
      <c r="O191" s="34"/>
      <c r="P191" s="34"/>
      <c r="Q191" s="34"/>
      <c r="R191" s="34"/>
      <c r="S191" s="12"/>
      <c r="T191" s="10"/>
      <c r="U191" s="10"/>
      <c r="V191" s="10"/>
      <c r="W191" s="23"/>
      <c r="X191" s="10"/>
      <c r="Y191" s="10"/>
      <c r="Z191" s="10"/>
      <c r="AA191" s="10"/>
      <c r="AB191" s="10"/>
      <c r="AC191" s="10"/>
    </row>
    <row r="192" s="2" customFormat="1" spans="1:29">
      <c r="A192" s="10"/>
      <c r="B192" s="23"/>
      <c r="C192" s="28"/>
      <c r="D192" s="29"/>
      <c r="E192" s="35"/>
      <c r="F192" s="23"/>
      <c r="G192" s="23"/>
      <c r="H192" s="36"/>
      <c r="I192" s="34"/>
      <c r="J192" s="34"/>
      <c r="K192" s="34"/>
      <c r="L192" s="34"/>
      <c r="M192" s="34"/>
      <c r="N192" s="34"/>
      <c r="O192" s="34"/>
      <c r="P192" s="34"/>
      <c r="Q192" s="34"/>
      <c r="R192" s="34"/>
      <c r="S192" s="12"/>
      <c r="T192" s="10"/>
      <c r="U192" s="10"/>
      <c r="V192" s="10"/>
      <c r="W192" s="23"/>
      <c r="X192" s="10"/>
      <c r="Y192" s="10"/>
      <c r="Z192" s="10"/>
      <c r="AA192" s="10"/>
      <c r="AB192" s="10"/>
      <c r="AC192" s="10"/>
    </row>
    <row r="193" s="2" customFormat="1" spans="1:29">
      <c r="A193" s="10"/>
      <c r="B193" s="23"/>
      <c r="C193" s="28"/>
      <c r="D193" s="29"/>
      <c r="E193" s="35"/>
      <c r="F193" s="23"/>
      <c r="G193" s="23"/>
      <c r="H193" s="36"/>
      <c r="I193" s="34"/>
      <c r="J193" s="34"/>
      <c r="K193" s="34"/>
      <c r="L193" s="34"/>
      <c r="M193" s="34"/>
      <c r="N193" s="34"/>
      <c r="O193" s="34"/>
      <c r="P193" s="34"/>
      <c r="Q193" s="34"/>
      <c r="R193" s="34"/>
      <c r="S193" s="12"/>
      <c r="T193" s="10"/>
      <c r="U193" s="10"/>
      <c r="V193" s="10"/>
      <c r="W193" s="23"/>
      <c r="X193" s="10"/>
      <c r="Y193" s="10"/>
      <c r="Z193" s="10"/>
      <c r="AA193" s="10"/>
      <c r="AB193" s="10"/>
      <c r="AC193" s="10"/>
    </row>
    <row r="194" s="2" customFormat="1" spans="1:29">
      <c r="A194" s="10"/>
      <c r="B194" s="23"/>
      <c r="C194" s="28"/>
      <c r="D194" s="23"/>
      <c r="E194" s="12"/>
      <c r="F194" s="23"/>
      <c r="G194" s="23"/>
      <c r="H194" s="36"/>
      <c r="I194" s="34"/>
      <c r="J194" s="34"/>
      <c r="K194" s="34"/>
      <c r="L194" s="34"/>
      <c r="M194" s="34"/>
      <c r="N194" s="34"/>
      <c r="O194" s="34"/>
      <c r="P194" s="34"/>
      <c r="Q194" s="34"/>
      <c r="R194" s="34"/>
      <c r="S194" s="12"/>
      <c r="T194" s="10"/>
      <c r="U194" s="10"/>
      <c r="V194" s="10"/>
      <c r="W194" s="23"/>
      <c r="X194" s="10"/>
      <c r="Y194" s="10"/>
      <c r="Z194" s="10"/>
      <c r="AA194" s="10"/>
      <c r="AB194" s="10"/>
      <c r="AC194" s="10"/>
    </row>
    <row r="195" s="2" customFormat="1" spans="1:29">
      <c r="A195" s="10"/>
      <c r="B195" s="10"/>
      <c r="C195" s="28"/>
      <c r="D195" s="23"/>
      <c r="E195" s="35"/>
      <c r="F195" s="23"/>
      <c r="G195" s="23"/>
      <c r="H195" s="31"/>
      <c r="I195" s="34"/>
      <c r="J195" s="34"/>
      <c r="K195" s="34"/>
      <c r="L195" s="34"/>
      <c r="M195" s="34"/>
      <c r="N195" s="34"/>
      <c r="O195" s="34"/>
      <c r="P195" s="34"/>
      <c r="Q195" s="34"/>
      <c r="R195" s="34"/>
      <c r="S195" s="12"/>
      <c r="T195" s="10"/>
      <c r="U195" s="10"/>
      <c r="V195" s="10"/>
      <c r="W195" s="23"/>
      <c r="X195" s="10"/>
      <c r="Y195" s="10"/>
      <c r="Z195" s="10"/>
      <c r="AA195" s="10"/>
      <c r="AB195" s="10"/>
      <c r="AC195" s="10"/>
    </row>
    <row r="196" s="2" customFormat="1" spans="1:29">
      <c r="A196" s="10"/>
      <c r="B196" s="10"/>
      <c r="C196" s="28"/>
      <c r="D196" s="23"/>
      <c r="E196" s="35"/>
      <c r="F196" s="23"/>
      <c r="G196" s="23"/>
      <c r="H196" s="31"/>
      <c r="I196" s="34"/>
      <c r="J196" s="34"/>
      <c r="K196" s="34"/>
      <c r="L196" s="34"/>
      <c r="M196" s="34"/>
      <c r="N196" s="34"/>
      <c r="O196" s="34"/>
      <c r="P196" s="34"/>
      <c r="Q196" s="34"/>
      <c r="R196" s="34"/>
      <c r="S196" s="12"/>
      <c r="T196" s="10"/>
      <c r="U196" s="10"/>
      <c r="V196" s="10"/>
      <c r="W196" s="23"/>
      <c r="X196" s="10"/>
      <c r="Y196" s="10"/>
      <c r="Z196" s="10"/>
      <c r="AA196" s="10"/>
      <c r="AB196" s="10"/>
      <c r="AC196" s="10"/>
    </row>
    <row r="197" s="2" customFormat="1" spans="1:29">
      <c r="A197" s="10"/>
      <c r="B197" s="10"/>
      <c r="C197" s="28"/>
      <c r="D197" s="23"/>
      <c r="E197" s="35"/>
      <c r="F197" s="23"/>
      <c r="G197" s="23"/>
      <c r="H197" s="31"/>
      <c r="I197" s="34"/>
      <c r="J197" s="34"/>
      <c r="K197" s="34"/>
      <c r="L197" s="34"/>
      <c r="M197" s="34"/>
      <c r="N197" s="34"/>
      <c r="O197" s="34"/>
      <c r="P197" s="34"/>
      <c r="Q197" s="34"/>
      <c r="R197" s="34"/>
      <c r="S197" s="12"/>
      <c r="T197" s="10"/>
      <c r="U197" s="10"/>
      <c r="V197" s="10"/>
      <c r="W197" s="23"/>
      <c r="X197" s="10"/>
      <c r="Y197" s="10"/>
      <c r="Z197" s="10"/>
      <c r="AA197" s="10"/>
      <c r="AB197" s="10"/>
      <c r="AC197" s="10"/>
    </row>
    <row r="198" s="2" customFormat="1" spans="1:29">
      <c r="A198" s="10"/>
      <c r="B198" s="10"/>
      <c r="C198" s="28"/>
      <c r="D198" s="23"/>
      <c r="E198" s="35"/>
      <c r="F198" s="23"/>
      <c r="G198" s="23"/>
      <c r="H198" s="31"/>
      <c r="I198" s="34"/>
      <c r="J198" s="34"/>
      <c r="K198" s="34"/>
      <c r="L198" s="34"/>
      <c r="M198" s="34"/>
      <c r="N198" s="34"/>
      <c r="O198" s="34"/>
      <c r="P198" s="34"/>
      <c r="Q198" s="34"/>
      <c r="R198" s="34"/>
      <c r="S198" s="12"/>
      <c r="T198" s="10"/>
      <c r="U198" s="10"/>
      <c r="V198" s="10"/>
      <c r="W198" s="23"/>
      <c r="X198" s="10"/>
      <c r="Y198" s="10"/>
      <c r="Z198" s="10"/>
      <c r="AA198" s="10"/>
      <c r="AB198" s="10"/>
      <c r="AC198" s="10"/>
    </row>
    <row r="199" s="2" customFormat="1" spans="1:29">
      <c r="A199" s="10"/>
      <c r="B199" s="10"/>
      <c r="C199" s="28"/>
      <c r="D199" s="23"/>
      <c r="E199" s="35"/>
      <c r="F199" s="23"/>
      <c r="G199" s="23"/>
      <c r="H199" s="31"/>
      <c r="I199" s="34"/>
      <c r="J199" s="34"/>
      <c r="K199" s="34"/>
      <c r="L199" s="34"/>
      <c r="M199" s="34"/>
      <c r="N199" s="34"/>
      <c r="O199" s="34"/>
      <c r="P199" s="34"/>
      <c r="Q199" s="34"/>
      <c r="R199" s="34"/>
      <c r="S199" s="12"/>
      <c r="T199" s="10"/>
      <c r="U199" s="10"/>
      <c r="V199" s="10"/>
      <c r="W199" s="23"/>
      <c r="X199" s="10"/>
      <c r="Y199" s="10"/>
      <c r="Z199" s="10"/>
      <c r="AA199" s="10"/>
      <c r="AB199" s="10"/>
      <c r="AC199" s="10"/>
    </row>
    <row r="200" s="2" customFormat="1" spans="1:29">
      <c r="A200" s="10"/>
      <c r="B200" s="10"/>
      <c r="C200" s="28"/>
      <c r="D200" s="23"/>
      <c r="E200" s="35"/>
      <c r="F200" s="23"/>
      <c r="G200" s="23"/>
      <c r="H200" s="31"/>
      <c r="I200" s="34"/>
      <c r="J200" s="34"/>
      <c r="K200" s="34"/>
      <c r="L200" s="34"/>
      <c r="M200" s="34"/>
      <c r="N200" s="34"/>
      <c r="O200" s="34"/>
      <c r="P200" s="34"/>
      <c r="Q200" s="34"/>
      <c r="R200" s="34"/>
      <c r="S200" s="12"/>
      <c r="T200" s="10"/>
      <c r="U200" s="10"/>
      <c r="V200" s="10"/>
      <c r="W200" s="23"/>
      <c r="X200" s="10"/>
      <c r="Y200" s="10"/>
      <c r="Z200" s="10"/>
      <c r="AA200" s="10"/>
      <c r="AB200" s="10"/>
      <c r="AC200" s="10"/>
    </row>
    <row r="201" s="2" customFormat="1" spans="1:29">
      <c r="A201" s="10"/>
      <c r="B201" s="10"/>
      <c r="C201" s="28"/>
      <c r="D201" s="23"/>
      <c r="E201" s="35"/>
      <c r="F201" s="23"/>
      <c r="G201" s="23"/>
      <c r="H201" s="31"/>
      <c r="I201" s="34"/>
      <c r="J201" s="34"/>
      <c r="K201" s="34"/>
      <c r="L201" s="34"/>
      <c r="M201" s="34"/>
      <c r="N201" s="34"/>
      <c r="O201" s="34"/>
      <c r="P201" s="34"/>
      <c r="Q201" s="34"/>
      <c r="R201" s="34"/>
      <c r="S201" s="12"/>
      <c r="T201" s="10"/>
      <c r="U201" s="10"/>
      <c r="V201" s="10"/>
      <c r="W201" s="23"/>
      <c r="X201" s="10"/>
      <c r="Y201" s="10"/>
      <c r="Z201" s="10"/>
      <c r="AA201" s="10"/>
      <c r="AB201" s="10"/>
      <c r="AC201" s="10"/>
    </row>
    <row r="202" s="2" customFormat="1" spans="1:29">
      <c r="A202" s="10"/>
      <c r="B202" s="10"/>
      <c r="C202" s="28"/>
      <c r="D202" s="23"/>
      <c r="E202" s="35"/>
      <c r="F202" s="23"/>
      <c r="G202" s="23"/>
      <c r="H202" s="31"/>
      <c r="I202" s="34"/>
      <c r="J202" s="34"/>
      <c r="K202" s="34"/>
      <c r="L202" s="34"/>
      <c r="M202" s="34"/>
      <c r="N202" s="34"/>
      <c r="O202" s="34"/>
      <c r="P202" s="34"/>
      <c r="Q202" s="34"/>
      <c r="R202" s="34"/>
      <c r="S202" s="12"/>
      <c r="T202" s="10"/>
      <c r="U202" s="10"/>
      <c r="V202" s="10"/>
      <c r="W202" s="23"/>
      <c r="X202" s="10"/>
      <c r="Y202" s="10"/>
      <c r="Z202" s="10"/>
      <c r="AA202" s="10"/>
      <c r="AB202" s="10"/>
      <c r="AC202" s="10"/>
    </row>
    <row r="203" s="2" customFormat="1" spans="1:29">
      <c r="A203" s="10"/>
      <c r="B203" s="23"/>
      <c r="C203" s="29"/>
      <c r="D203" s="23"/>
      <c r="E203" s="35"/>
      <c r="F203" s="23"/>
      <c r="G203" s="23"/>
      <c r="H203" s="32"/>
      <c r="I203" s="34"/>
      <c r="J203" s="34"/>
      <c r="K203" s="34"/>
      <c r="L203" s="34"/>
      <c r="M203" s="34"/>
      <c r="N203" s="34"/>
      <c r="O203" s="34"/>
      <c r="P203" s="34"/>
      <c r="Q203" s="34"/>
      <c r="R203" s="34"/>
      <c r="S203" s="35"/>
      <c r="T203" s="10"/>
      <c r="U203" s="10"/>
      <c r="V203" s="10"/>
      <c r="W203" s="23"/>
      <c r="X203" s="10"/>
      <c r="Y203" s="10"/>
      <c r="Z203" s="10"/>
      <c r="AA203" s="10"/>
      <c r="AB203" s="10"/>
      <c r="AC203" s="10"/>
    </row>
    <row r="204" s="2" customFormat="1" spans="1:29">
      <c r="A204" s="10"/>
      <c r="B204" s="23"/>
      <c r="C204" s="29"/>
      <c r="D204" s="23"/>
      <c r="E204" s="35"/>
      <c r="F204" s="23"/>
      <c r="G204" s="23"/>
      <c r="H204" s="32"/>
      <c r="I204" s="34"/>
      <c r="J204" s="34"/>
      <c r="K204" s="34"/>
      <c r="L204" s="34"/>
      <c r="M204" s="34"/>
      <c r="N204" s="34"/>
      <c r="O204" s="34"/>
      <c r="P204" s="34"/>
      <c r="Q204" s="34"/>
      <c r="R204" s="34"/>
      <c r="S204" s="12"/>
      <c r="T204" s="10"/>
      <c r="U204" s="10"/>
      <c r="V204" s="10"/>
      <c r="W204" s="23"/>
      <c r="X204" s="10"/>
      <c r="Y204" s="10"/>
      <c r="Z204" s="10"/>
      <c r="AA204" s="10"/>
      <c r="AB204" s="10"/>
      <c r="AC204" s="10"/>
    </row>
    <row r="205" s="2" customFormat="1" spans="1:29">
      <c r="A205" s="10"/>
      <c r="B205" s="23"/>
      <c r="C205" s="29"/>
      <c r="D205" s="23"/>
      <c r="E205" s="35"/>
      <c r="F205" s="23"/>
      <c r="G205" s="23"/>
      <c r="H205" s="32"/>
      <c r="I205" s="34"/>
      <c r="J205" s="34"/>
      <c r="K205" s="34"/>
      <c r="L205" s="34"/>
      <c r="M205" s="34"/>
      <c r="N205" s="34"/>
      <c r="O205" s="34"/>
      <c r="P205" s="34"/>
      <c r="Q205" s="34"/>
      <c r="R205" s="34"/>
      <c r="S205" s="12"/>
      <c r="T205" s="10"/>
      <c r="U205" s="10"/>
      <c r="V205" s="10"/>
      <c r="W205" s="23"/>
      <c r="X205" s="10"/>
      <c r="Y205" s="10"/>
      <c r="Z205" s="10"/>
      <c r="AA205" s="10"/>
      <c r="AB205" s="10"/>
      <c r="AC205" s="10"/>
    </row>
    <row r="206" s="2" customFormat="1" spans="1:29">
      <c r="A206" s="10"/>
      <c r="B206" s="23"/>
      <c r="C206" s="29"/>
      <c r="D206" s="23"/>
      <c r="E206" s="35"/>
      <c r="F206" s="23"/>
      <c r="G206" s="23"/>
      <c r="H206" s="32"/>
      <c r="I206" s="34"/>
      <c r="J206" s="34"/>
      <c r="K206" s="34"/>
      <c r="L206" s="34"/>
      <c r="M206" s="34"/>
      <c r="N206" s="34"/>
      <c r="O206" s="34"/>
      <c r="P206" s="34"/>
      <c r="Q206" s="34"/>
      <c r="R206" s="34"/>
      <c r="S206" s="12"/>
      <c r="T206" s="10"/>
      <c r="U206" s="10"/>
      <c r="V206" s="10"/>
      <c r="W206" s="23"/>
      <c r="X206" s="10"/>
      <c r="Y206" s="10"/>
      <c r="Z206" s="10"/>
      <c r="AA206" s="10"/>
      <c r="AB206" s="10"/>
      <c r="AC206" s="10"/>
    </row>
    <row r="207" s="2" customFormat="1" spans="1:29">
      <c r="A207" s="10"/>
      <c r="B207" s="23"/>
      <c r="C207" s="29"/>
      <c r="D207" s="23"/>
      <c r="E207" s="35"/>
      <c r="F207" s="23"/>
      <c r="G207" s="23"/>
      <c r="H207" s="32"/>
      <c r="I207" s="34"/>
      <c r="J207" s="34"/>
      <c r="K207" s="34"/>
      <c r="L207" s="34"/>
      <c r="M207" s="34"/>
      <c r="N207" s="34"/>
      <c r="O207" s="34"/>
      <c r="P207" s="34"/>
      <c r="Q207" s="34"/>
      <c r="R207" s="34"/>
      <c r="S207" s="12"/>
      <c r="T207" s="10"/>
      <c r="U207" s="10"/>
      <c r="V207" s="10"/>
      <c r="W207" s="23"/>
      <c r="X207" s="10"/>
      <c r="Y207" s="10"/>
      <c r="Z207" s="10"/>
      <c r="AA207" s="10"/>
      <c r="AB207" s="10"/>
      <c r="AC207" s="10"/>
    </row>
    <row r="208" s="2" customFormat="1" spans="1:29">
      <c r="A208" s="10"/>
      <c r="B208" s="23"/>
      <c r="C208" s="29"/>
      <c r="D208" s="23"/>
      <c r="E208" s="35"/>
      <c r="F208" s="23"/>
      <c r="G208" s="23"/>
      <c r="H208" s="32"/>
      <c r="I208" s="34"/>
      <c r="J208" s="34"/>
      <c r="K208" s="34"/>
      <c r="L208" s="34"/>
      <c r="M208" s="34"/>
      <c r="N208" s="34"/>
      <c r="O208" s="34"/>
      <c r="P208" s="34"/>
      <c r="Q208" s="34"/>
      <c r="R208" s="34"/>
      <c r="S208" s="12"/>
      <c r="T208" s="10"/>
      <c r="U208" s="10"/>
      <c r="V208" s="10"/>
      <c r="W208" s="23"/>
      <c r="X208" s="10"/>
      <c r="Y208" s="10"/>
      <c r="Z208" s="10"/>
      <c r="AA208" s="10"/>
      <c r="AB208" s="10"/>
      <c r="AC208" s="10"/>
    </row>
    <row r="209" s="2" customFormat="1" spans="1:29">
      <c r="A209" s="10"/>
      <c r="B209" s="23"/>
      <c r="C209" s="29"/>
      <c r="D209" s="23"/>
      <c r="E209" s="35"/>
      <c r="F209" s="23"/>
      <c r="G209" s="23"/>
      <c r="H209" s="32"/>
      <c r="I209" s="34"/>
      <c r="J209" s="34"/>
      <c r="K209" s="34"/>
      <c r="L209" s="34"/>
      <c r="M209" s="34"/>
      <c r="N209" s="34"/>
      <c r="O209" s="34"/>
      <c r="P209" s="34"/>
      <c r="Q209" s="34"/>
      <c r="R209" s="34"/>
      <c r="S209" s="12"/>
      <c r="T209" s="10"/>
      <c r="U209" s="10"/>
      <c r="V209" s="10"/>
      <c r="W209" s="23"/>
      <c r="X209" s="10"/>
      <c r="Y209" s="10"/>
      <c r="Z209" s="10"/>
      <c r="AA209" s="10"/>
      <c r="AB209" s="10"/>
      <c r="AC209" s="10"/>
    </row>
    <row r="210" s="2" customFormat="1" spans="1:29">
      <c r="A210" s="10"/>
      <c r="B210" s="23"/>
      <c r="C210" s="29"/>
      <c r="D210" s="23"/>
      <c r="E210" s="35"/>
      <c r="F210" s="23"/>
      <c r="G210" s="23"/>
      <c r="H210" s="32"/>
      <c r="I210" s="34"/>
      <c r="J210" s="34"/>
      <c r="K210" s="34"/>
      <c r="L210" s="34"/>
      <c r="M210" s="34"/>
      <c r="N210" s="34"/>
      <c r="O210" s="34"/>
      <c r="P210" s="34"/>
      <c r="Q210" s="34"/>
      <c r="R210" s="34"/>
      <c r="S210" s="12"/>
      <c r="T210" s="10"/>
      <c r="U210" s="10"/>
      <c r="V210" s="10"/>
      <c r="W210" s="23"/>
      <c r="X210" s="10"/>
      <c r="Y210" s="10"/>
      <c r="Z210" s="10"/>
      <c r="AA210" s="10"/>
      <c r="AB210" s="10"/>
      <c r="AC210" s="10"/>
    </row>
    <row r="211" s="2" customFormat="1" spans="1:29">
      <c r="A211" s="10"/>
      <c r="B211" s="23"/>
      <c r="C211" s="29"/>
      <c r="D211" s="23"/>
      <c r="E211" s="35"/>
      <c r="F211" s="23"/>
      <c r="G211" s="23"/>
      <c r="H211" s="32"/>
      <c r="I211" s="34"/>
      <c r="J211" s="34"/>
      <c r="K211" s="34"/>
      <c r="L211" s="34"/>
      <c r="M211" s="34"/>
      <c r="N211" s="34"/>
      <c r="O211" s="34"/>
      <c r="P211" s="34"/>
      <c r="Q211" s="34"/>
      <c r="R211" s="34"/>
      <c r="S211" s="12"/>
      <c r="T211" s="10"/>
      <c r="U211" s="10"/>
      <c r="V211" s="10"/>
      <c r="W211" s="23"/>
      <c r="X211" s="10"/>
      <c r="Y211" s="10"/>
      <c r="Z211" s="10"/>
      <c r="AA211" s="10"/>
      <c r="AB211" s="10"/>
      <c r="AC211" s="10"/>
    </row>
    <row r="212" s="2" customFormat="1" spans="1:29">
      <c r="A212" s="10"/>
      <c r="B212" s="23"/>
      <c r="C212" s="23"/>
      <c r="D212" s="23"/>
      <c r="E212" s="35"/>
      <c r="F212" s="23"/>
      <c r="G212" s="23"/>
      <c r="H212" s="36"/>
      <c r="I212" s="34"/>
      <c r="J212" s="34"/>
      <c r="K212" s="34"/>
      <c r="L212" s="34"/>
      <c r="M212" s="34"/>
      <c r="N212" s="34"/>
      <c r="O212" s="34"/>
      <c r="P212" s="34"/>
      <c r="Q212" s="34"/>
      <c r="R212" s="34"/>
      <c r="S212" s="35"/>
      <c r="T212" s="10"/>
      <c r="U212" s="10"/>
      <c r="V212" s="10"/>
      <c r="W212" s="23"/>
      <c r="X212" s="10"/>
      <c r="Y212" s="10"/>
      <c r="Z212" s="10"/>
      <c r="AA212" s="10"/>
      <c r="AB212" s="10"/>
      <c r="AC212" s="10"/>
    </row>
  </sheetData>
  <autoFilter xmlns:etc="http://www.wps.cn/officeDocument/2017/etCustomData" ref="A1:AC36" etc:filterBottomFollowUsedRange="0">
    <filterColumn colId="1">
      <customFilters>
        <customFilter operator="equal" val="项目碳排放评价结论"/>
      </customFilters>
    </filterColumn>
    <extLst/>
  </autoFilter>
  <mergeCells count="7">
    <mergeCell ref="H2:H5"/>
    <mergeCell ref="H6:H16"/>
    <mergeCell ref="H19:H22"/>
    <mergeCell ref="H23:H27"/>
    <mergeCell ref="H28:H29"/>
    <mergeCell ref="H30:H31"/>
    <mergeCell ref="H32:H33"/>
  </mergeCells>
  <pageMargins left="0.75" right="0.75" top="1" bottom="1" header="0.5" footer="0.5"/>
  <headerFooter/>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4"/>
  <dimension ref="A1"/>
  <sheetViews>
    <sheetView workbookViewId="0">
      <selection activeCell="Z5" sqref="Z5:Z39"/>
    </sheetView>
  </sheetViews>
  <sheetFormatPr defaultColWidth="9" defaultRowHeight="14.25"/>
  <sheetData/>
  <sheetProtection formatCells="0" insertHyperlinks="0" autoFilter="0"/>
  <pageMargins left="0.75" right="0.75" top="1" bottom="1" header="0.5" footer="0.5"/>
  <headerFooter/>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s t a n d a l o n e = " y e s " ? > < w o P r o p s   x m l n s = " h t t p s : / / w e b . w p s . c n / e t / 2 0 1 8 / m a i n "   x m l n s : s = " h t t p : / / s c h e m a s . o p e n x m l f o r m a t s . o r g / s p r e a d s h e e t m l / 2 0 0 6 / m a i n " > < w o S h e e t s P r o p s > < w o S h e e t P r o p s   s h e e t S t i d = " 6 "   i n t e r l i n e O n O f f = " 0 "   i n t e r l i n e C o l o r = " 0 "   i s D b S h e e t = " 0 "   i s D a s h B o a r d S h e e t = " 0 "   i s D b D a s h B o a r d S h e e t = " 0 "   i s F l e x P a p e r S h e e t = " 0 " > < c e l l p r o t e c t i o n / > < a p p E t D b R e l a t i o n s / > < / w o S h e e t P r o p s > < w o S h e e t P r o p s   s h e e t S t i d = " 7 "   i n t e r l i n e O n O f f = " 0 "   i n t e r l i n e C o l o r = " 0 "   i s D b S h e e t = " 0 "   i s D a s h B o a r d S h e e t = " 0 "   i s D b D a s h B o a r d S h e e t = " 0 "   i s F l e x P a p e r S h e e t = " 0 " > < c e l l p r o t e c t i o n / > < a p p E t D b R e l a t i o n s / > < / w o S h e e t P r o p s > < w o S h e e t P r o p s   s h e e t S t i d = " 8 "   i n t e r l i n e O n O f f = " 0 "   i n t e r l i n e C o l o r = " 0 "   i s D b S h e e t = " 0 "   i s D a s h B o a r d S h e e t = " 0 "   i s D b D a s h B o a r d S h e e t = " 0 "   i s F l e x P a p e r S h e e t = " 0 " > < c e l l p r o t e c t i o n / > < a p p E t D b R e l a t i o n s / > < / w o S h e e t P r o p s > < w o S h e e t P r o p s   s h e e t S t i d = " 1 1 "   i n t e r l i n e O n O f f = " 0 "   i n t e r l i n e C o l o r = " 0 "   i s D b S h e e t = " 0 "   i s D a s h B o a r d S h e e t = " 0 "   i s D b D a s h B o a r d S h e e t = " 0 "   i s F l e x P a p e r S h e e t = " 0 " > < c e l l p r o t e c t i o n / > < a p p E t D b R e l a t i o n s / > < / w o S h e e t P r o p s > < / w o S h e e t s P r o p s > < w o B o o k P r o p s > < b o o k S e t t i n g s   i s F i l t e r S h a r e d = " 1 "   c o r e C o n q u e r U s e r I d = " "   i s A u t o U p d a t e P a u s e d = " 0 "   f i l t e r T y p e = " c o n n "   i s M e r g e T a s k s A u t o U p d a t e = " 0 "   i s I n s e r P i c A s A t t a c h m e n t = " 0 " / > < / w o B o o k P r o p s > < / w o P r o p s > 
</file>

<file path=customXml/item2.xml>��< ? x m l   v e r s i o n = " 1 . 0 "   s t a n d a l o n e = " y e s " ? > < p i x e l a t o r s   x m l n s = " h t t p s : / / w e b . w p s . c n / e t / 2 0 1 8 / m a i n "   x m l n s : s = " h t t p : / / s c h e m a s . o p e n x m l f o r m a t s . o r g / s p r e a d s h e e t m l / 2 0 0 6 / m a i n " > < p i x e l a t o r L i s t   s h e e t S t i d = " 6 " / > < p i x e l a t o r L i s t   s h e e t S t i d = " 7 " / > < p i x e l a t o r L i s t   s h e e t S t i d = " 8 " / > < p i x e l a t o r L i s t   s h e e t S t i d = " 1 1 " / > < p i x e l a t o r L i s t   s h e e t S t i d = " 1 2 " / > < / p i x e l a t o r s > 
</file>

<file path=customXml/item3.xml>��< ? x m l   v e r s i o n = " 1 . 0 "   s t a n d a l o n e = " y e s " ? > < c o m m e n t s   x m l n s = " h t t p s : / / w e b . w p s . c n / e t / 2 0 1 8 / m a i n "   x m l n s : s = " h t t p : / / s c h e m a s . o p e n x m l f o r m a t s . o r g / s p r e a d s h e e t m l / 2 0 0 6 / m a i n " > < c o m m e n t L i s t   s h e e t S t i d = " 7 " > < c o m m e n t C h a i n s   s : r e f = " S 4 "   r g b C l r = " F F 0 0 0 0 " > < u n r e s o l v e d > < c o m m e n t C h a i n   c h a i n I d = " 3 6 3 f f a f d 4 5 7 e 9 f 5 d 4 e 8 3 e d f b 3 5 c 4 3 4 5 9 5 f 6 a a d 3 3 " > < i t e m   i d = " 2 c b f d 6 9 6 5 1 2 a 0 2 8 6 3 5 f 2 3 9 6 3 0 8 2 c d 6 9 d 3 7 5 c e b c c "   i s N o r m a l = " 1 " > < s : t e x t > < s : r > < s : t   x m l : s p a c e = " p r e s e r v e " > J R S C - H Z W :  
 ўr�W[SO��[b勧N�Qir@b �����eQD��e 
 ݄r�W[SO��N�Qir@b(W�v�ech0NN�^ 
 �~r�W[SO�,g:Wof-N�v�N�Qir 
  
  
 < / s : t > < / s : r > < / s : t e x t > < / i t e m > < / c o m m e n t C h a i n > < / u n r e s o l v e d > < r e s o l v e d / > < / c o m m e n t C h a i n s > < / c o m m e n t L i s t > < / c o m m e n t s > 
</file>

<file path=customXml/itemProps1.xml><?xml version="1.0" encoding="utf-8"?>
<ds:datastoreItem xmlns:ds="http://schemas.openxmlformats.org/officeDocument/2006/customXml" ds:itemID="{06C82605-B75B-4693-9329-32AAD527C692}">
  <ds:schemaRefs/>
</ds:datastoreItem>
</file>

<file path=customXml/itemProps2.xml><?xml version="1.0" encoding="utf-8"?>
<ds:datastoreItem xmlns:ds="http://schemas.openxmlformats.org/officeDocument/2006/customXml" ds:itemID="{224D003E-15C9-4FFE-AB16-9E66474EAE4E}">
  <ds:schemaRefs/>
</ds:datastoreItem>
</file>

<file path=customXml/itemProps3.xml><?xml version="1.0" encoding="utf-8"?>
<ds:datastoreItem xmlns:ds="http://schemas.openxmlformats.org/officeDocument/2006/customXml" ds:itemID="{06A0048C-2381-489B-AA07-9611017176EA}">
  <ds:schemaRefs/>
</ds:datastoreItem>
</file>

<file path=docProps/app.xml><?xml version="1.0" encoding="utf-8"?>
<Properties xmlns="http://schemas.openxmlformats.org/officeDocument/2006/extended-properties" xmlns:vt="http://schemas.openxmlformats.org/officeDocument/2006/docPropsVTypes">
  <Application>WPS Office WWO_dingtalk_20240221035043-c523bba0e7</Application>
  <HeadingPairs>
    <vt:vector size="2" baseType="variant">
      <vt:variant>
        <vt:lpstr>工作表</vt:lpstr>
      </vt:variant>
      <vt:variant>
        <vt:i4>6</vt:i4>
      </vt:variant>
    </vt:vector>
  </HeadingPairs>
  <TitlesOfParts>
    <vt:vector size="6" baseType="lpstr">
      <vt:lpstr>安全工程</vt:lpstr>
      <vt:lpstr>环保工程</vt:lpstr>
      <vt:lpstr>职业卫生</vt:lpstr>
      <vt:lpstr>节能评价</vt:lpstr>
      <vt:lpstr>碳排放评价</vt:lpstr>
      <vt:lpstr>WpsReserved_CellImgList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吴建辉</dc:creator>
  <cp:lastModifiedBy>光芒</cp:lastModifiedBy>
  <dcterms:created xsi:type="dcterms:W3CDTF">2021-04-14T12:02:00Z</dcterms:created>
  <dcterms:modified xsi:type="dcterms:W3CDTF">2025-04-09T06:04:34Z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2052-12.1.0.20305</vt:lpwstr>
  </property>
  <property fmtid="{D5CDD505-2E9C-101B-9397-08002B2CF9AE}" pid="3" name="ICV">
    <vt:lpwstr>78C91E617E884366B078C9F51F0F0E3D_13</vt:lpwstr>
  </property>
  <property fmtid="{D5CDD505-2E9C-101B-9397-08002B2CF9AE}" pid="4" name="KSOReadingLayout">
    <vt:bool>true</vt:bool>
  </property>
</Properties>
</file>